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userName="argocd" reservationPassword="CC9E"/>
  <workbookPr codeName="ThisWorkbook"/>
  <bookViews>
    <workbookView xWindow="15000" yWindow="15" windowWidth="13320" windowHeight="13170" activeTab="1"/>
  </bookViews>
  <sheets>
    <sheet name="Instructions" sheetId="1" r:id="rId1"/>
    <sheet name="Summary" sheetId="2" r:id="rId2"/>
    <sheet name="Pivot" sheetId="3" r:id="rId3"/>
    <sheet name="Transactions" sheetId="4" r:id="rId4"/>
  </sheets>
  <definedNames>
    <definedName name="AS1_1999" localSheetId="3">'Transactions'!$C$19:$J$26</definedName>
    <definedName name="AS1_1999">#REF!</definedName>
    <definedName name="Avg_Annual_FERC_Rate">#REF!</definedName>
    <definedName name="etec">#REF!</definedName>
    <definedName name="fake">#REF!</definedName>
    <definedName name="greenbelt">#REF!</definedName>
    <definedName name="janetec">#REF!</definedName>
    <definedName name="lighthouse">#REF!</definedName>
    <definedName name="ntec">#REF!</definedName>
    <definedName name="ompa">#REF!</definedName>
    <definedName name="_xlnm.Print_Area" localSheetId="1">'Summary'!$C$1:$I$40</definedName>
    <definedName name="_xlnm.Print_Area" localSheetId="3">'Transactions'!$A$1:$R$211</definedName>
    <definedName name="_xlnm.Print_Titles" localSheetId="2">'Pivot'!$3:$4</definedName>
    <definedName name="_xlnm.Print_Titles" localSheetId="3">'Transactions'!$B:$E,'Transactions'!$1:$19</definedName>
    <definedName name="ss1et">#REF!</definedName>
    <definedName name="ss1gb">#REF!</definedName>
    <definedName name="ss1lh">#REF!</definedName>
    <definedName name="ss1nt">#REF!</definedName>
    <definedName name="ss1op">#REF!</definedName>
    <definedName name="ss1tx">#REF!</definedName>
    <definedName name="ss1wf">#REF!</definedName>
    <definedName name="ss2et">#REF!</definedName>
    <definedName name="ss2etc">#REF!</definedName>
    <definedName name="ss2gb">#REF!</definedName>
    <definedName name="ss2gbt">#REF!</definedName>
    <definedName name="ss2lh">#REF!</definedName>
    <definedName name="ss2lhs">#REF!</definedName>
    <definedName name="ss2nt">#REF!</definedName>
    <definedName name="ss2ntc">#REF!</definedName>
    <definedName name="ss2op">#REF!</definedName>
    <definedName name="ss2opm">#REF!</definedName>
    <definedName name="ss2tx">#REF!</definedName>
    <definedName name="ss2txl">#REF!</definedName>
    <definedName name="ss2wf">#REF!</definedName>
    <definedName name="ss3et">#REF!</definedName>
    <definedName name="ss3gb">#REF!</definedName>
    <definedName name="ss3lh">#REF!</definedName>
    <definedName name="ss3nt">#REF!</definedName>
    <definedName name="ss3op">#REF!</definedName>
    <definedName name="ss3tx">#REF!</definedName>
    <definedName name="ss3wf">#REF!</definedName>
    <definedName name="ss5et">#REF!</definedName>
    <definedName name="ss5gb">#REF!</definedName>
    <definedName name="ss5lh">#REF!</definedName>
    <definedName name="ss5nt">#REF!</definedName>
    <definedName name="ss5op">#REF!</definedName>
    <definedName name="ss5tx">#REF!</definedName>
    <definedName name="ss5wf">#REF!</definedName>
    <definedName name="ss6et">#REF!</definedName>
    <definedName name="ss6gb">#REF!</definedName>
    <definedName name="ss6lh">#REF!</definedName>
    <definedName name="ss6nt">#REF!</definedName>
    <definedName name="ss6op">#REF!</definedName>
    <definedName name="ss6tx">#REF!</definedName>
    <definedName name="ss6wf">#REF!</definedName>
    <definedName name="tbl_QtrPrimRat">#REF!</definedName>
    <definedName name="texla">#REF!</definedName>
  </definedNames>
  <calcPr fullCalcOnLoad="1"/>
  <pivotCaches>
    <pivotCache cacheId="4" r:id="rId5"/>
  </pivotCaches>
</workbook>
</file>

<file path=xl/comments4.xml><?xml version="1.0" encoding="utf-8"?>
<comments xmlns="http://schemas.openxmlformats.org/spreadsheetml/2006/main">
  <authors>
    <author>rlp</author>
  </authors>
  <commentList>
    <comment ref="J2" authorId="0">
      <text>
        <r>
          <rPr>
            <b/>
            <sz val="8"/>
            <rFont val="Tahoma"/>
            <family val="2"/>
          </rPr>
          <t>rlp:</t>
        </r>
        <r>
          <rPr>
            <sz val="8"/>
            <rFont val="Tahoma"/>
            <family val="2"/>
          </rPr>
          <t xml:space="preserve">
Sched 9 True-Up ATRR and rate from current year's (t=0) update.
</t>
        </r>
      </text>
    </comment>
    <comment ref="J19" authorId="0">
      <text>
        <r>
          <rPr>
            <b/>
            <sz val="8"/>
            <rFont val="Tahoma"/>
            <family val="2"/>
          </rPr>
          <t>rlp:</t>
        </r>
        <r>
          <rPr>
            <sz val="8"/>
            <rFont val="Tahoma"/>
            <family val="2"/>
          </rPr>
          <t xml:space="preserve">
Actual Charge based on after the fact "True-Up" rate for entire prior CY.</t>
        </r>
      </text>
    </comment>
    <comment ref="K19" authorId="0">
      <text>
        <r>
          <rPr>
            <b/>
            <sz val="8"/>
            <rFont val="Tahoma"/>
            <family val="2"/>
          </rPr>
          <t>rlp:</t>
        </r>
        <r>
          <rPr>
            <sz val="8"/>
            <rFont val="Tahoma"/>
            <family val="2"/>
          </rPr>
          <t xml:space="preserve">
Amount charged during the Rate Year based on projected rates.</t>
        </r>
      </text>
    </comment>
    <comment ref="K2" authorId="0">
      <text>
        <r>
          <rPr>
            <b/>
            <sz val="8"/>
            <rFont val="Tahoma"/>
            <family val="2"/>
          </rPr>
          <t>rlp:</t>
        </r>
        <r>
          <rPr>
            <sz val="8"/>
            <rFont val="Tahoma"/>
            <family val="2"/>
          </rPr>
          <t xml:space="preserve">
Sched 9 ATRR and rate (rpojected) from prev year's template (t-1)</t>
        </r>
      </text>
    </comment>
    <comment ref="K3" authorId="0">
      <text>
        <r>
          <rPr>
            <b/>
            <sz val="8"/>
            <rFont val="Tahoma"/>
            <family val="2"/>
          </rPr>
          <t>rlp:</t>
        </r>
        <r>
          <rPr>
            <sz val="8"/>
            <rFont val="Tahoma"/>
            <family val="2"/>
          </rPr>
          <t xml:space="preserve">
Sched 9 ATRR and rate (rpojected) from prev year's template (t-1)</t>
        </r>
      </text>
    </comment>
  </commentList>
</comments>
</file>

<file path=xl/sharedStrings.xml><?xml version="1.0" encoding="utf-8"?>
<sst xmlns="http://schemas.openxmlformats.org/spreadsheetml/2006/main" count="418" uniqueCount="100">
  <si>
    <t>Customer</t>
  </si>
  <si>
    <t>MW</t>
  </si>
  <si>
    <t>Total True-up</t>
  </si>
  <si>
    <t>True-Up w/o Interest</t>
  </si>
  <si>
    <t>Billing
Date*</t>
  </si>
  <si>
    <t>Payment Received*</t>
  </si>
  <si>
    <t>Annual RR</t>
  </si>
  <si>
    <t>Interest</t>
  </si>
  <si>
    <t>OMPA</t>
  </si>
  <si>
    <t>WFEC</t>
  </si>
  <si>
    <t>Monthly Rate</t>
  </si>
  <si>
    <t>True-up Values:  Surcharge / (Refund)</t>
  </si>
  <si>
    <t>Sched.</t>
  </si>
  <si>
    <t>ETEC</t>
  </si>
  <si>
    <t>AECC</t>
  </si>
  <si>
    <t>Greenbelt</t>
  </si>
  <si>
    <t>Lighthouse</t>
  </si>
  <si>
    <t>Coffeyville, KS</t>
  </si>
  <si>
    <t>Grand Total</t>
  </si>
  <si>
    <t>OG&amp;E</t>
  </si>
  <si>
    <t>AEP Revenue Adjustment</t>
  </si>
  <si>
    <t>PSO</t>
  </si>
  <si>
    <t>SWEPCO</t>
  </si>
  <si>
    <r>
      <t xml:space="preserve">NOTE:  </t>
    </r>
    <r>
      <rPr>
        <sz val="10"/>
        <rFont val="Arial"/>
        <family val="2"/>
      </rPr>
      <t>This is a normal part of the Annual True-up</t>
    </r>
  </si>
  <si>
    <t>Data</t>
  </si>
  <si>
    <t>Sum of True-Up w/o Interest</t>
  </si>
  <si>
    <t>Sum of Interest</t>
  </si>
  <si>
    <t>Sum of Total True-up</t>
  </si>
  <si>
    <t>Total Sum of True-Up w/o Interest</t>
  </si>
  <si>
    <t>Total Sum of Interest</t>
  </si>
  <si>
    <t>Total Sum of Total True-up</t>
  </si>
  <si>
    <t>(A)</t>
  </si>
  <si>
    <t>(B)</t>
  </si>
  <si>
    <t>(C)</t>
  </si>
  <si>
    <t>(D) = (B) - (C)</t>
  </si>
  <si>
    <t>(E)</t>
  </si>
  <si>
    <t>Network Customer True-Up (Schedule 9 charges)</t>
  </si>
  <si>
    <t>Projected</t>
  </si>
  <si>
    <r>
      <t xml:space="preserve">Projected </t>
    </r>
    <r>
      <rPr>
        <sz val="10"/>
        <rFont val="Arial Narrow"/>
        <family val="2"/>
      </rPr>
      <t>(Invoiced)</t>
    </r>
  </si>
  <si>
    <t xml:space="preserve">  ARR</t>
  </si>
  <si>
    <t xml:space="preserve">  Monthly Rates</t>
  </si>
  <si>
    <r>
      <t>True-Up
(</t>
    </r>
    <r>
      <rPr>
        <sz val="10"/>
        <rFont val="Arial"/>
        <family val="2"/>
      </rPr>
      <t>w/o Interest)</t>
    </r>
  </si>
  <si>
    <r>
      <t>Actual</t>
    </r>
    <r>
      <rPr>
        <sz val="10"/>
        <rFont val="Arial Narrow"/>
        <family val="2"/>
      </rPr>
      <t xml:space="preserve"> (True-Up)</t>
    </r>
  </si>
  <si>
    <r>
      <t xml:space="preserve">Actual </t>
    </r>
    <r>
      <rPr>
        <sz val="10"/>
        <rFont val="Arial Narrow"/>
        <family val="2"/>
      </rPr>
      <t>(True-Up)</t>
    </r>
  </si>
  <si>
    <t xml:space="preserve">    Non-Affiliate
    Subtotals</t>
  </si>
  <si>
    <t>TOTALS</t>
  </si>
  <si>
    <t>Total
True-Up Surcharge / (Refund)</t>
  </si>
  <si>
    <t>Comment</t>
  </si>
  <si>
    <t>Actual True-Up Rate</t>
  </si>
  <si>
    <t>Invoiced*** Charge (proj.)</t>
  </si>
  <si>
    <r>
      <t>Projected Rate</t>
    </r>
    <r>
      <rPr>
        <sz val="8"/>
        <rFont val="Arial"/>
        <family val="2"/>
      </rPr>
      <t xml:space="preserve"> (as Invoiced)</t>
    </r>
  </si>
  <si>
    <t>Sum of Invoiced*** Charge (proj.)</t>
  </si>
  <si>
    <t xml:space="preserve">  Customer</t>
  </si>
  <si>
    <t xml:space="preserve">    Affiliate
    Subtotals</t>
  </si>
  <si>
    <t>Customer True-Up for Amounts Billed</t>
  </si>
  <si>
    <t>Serivce Month</t>
  </si>
  <si>
    <t>Bentonville, AR</t>
  </si>
  <si>
    <t>Prescott, AR</t>
  </si>
  <si>
    <t>Minden, LA</t>
  </si>
  <si>
    <t>Hope, AR</t>
  </si>
  <si>
    <t>3rd Party Totals</t>
  </si>
  <si>
    <t>SPP Zone1 Totals (incl. PSO/SWE)</t>
  </si>
  <si>
    <t>Surcharge / (Refund)</t>
  </si>
  <si>
    <t>Total Sum of Invoiced*** Charge (proj.)</t>
  </si>
  <si>
    <r>
      <t xml:space="preserve">*** </t>
    </r>
    <r>
      <rPr>
        <sz val="8"/>
        <rFont val="Arial"/>
        <family val="2"/>
      </rPr>
      <t>Invoiced Charge reflects any subsequent routine invoice corrections by SPP.</t>
    </r>
  </si>
  <si>
    <t>Instructions</t>
  </si>
  <si>
    <r>
      <t>Roll Date: input trueup year in cell=</t>
    </r>
    <r>
      <rPr>
        <b/>
        <i/>
        <sz val="10"/>
        <rFont val="Arial"/>
        <family val="2"/>
      </rPr>
      <t>Transactions!N1</t>
    </r>
  </si>
  <si>
    <t>Update Prime Rates data:  see Prime-Rates tab</t>
  </si>
  <si>
    <r>
      <t>Verify Refund Date:  verify and change (if needed) Refund Date celll=</t>
    </r>
    <r>
      <rPr>
        <b/>
        <i/>
        <sz val="10"/>
        <rFont val="Arial"/>
        <family val="2"/>
      </rPr>
      <t>Transactions!W8</t>
    </r>
  </si>
  <si>
    <t>Billing/Pmt Rec'd Dates:  Verify these dates (currently set to formulaicly update relative to trueup year)</t>
  </si>
  <si>
    <t>Update SPP Zone1 NITS Customer list &amp; formulas (if needed): look at LoadWS in main template &amp; also check w/Load Settlements.</t>
  </si>
  <si>
    <t>Update invoiced Load values per month per customer (from LoadWS in main template) (transpose)</t>
  </si>
  <si>
    <t>Sum of True-Up Charge</t>
  </si>
  <si>
    <t>Total Sum of True-Up Charge</t>
  </si>
  <si>
    <r>
      <t xml:space="preserve">Refresh Pivot Table in </t>
    </r>
    <r>
      <rPr>
        <b/>
        <sz val="10"/>
        <rFont val="Arial"/>
        <family val="2"/>
      </rPr>
      <t>tab=PIVOT</t>
    </r>
  </si>
  <si>
    <t>NOTE:  Be aware that title changes to a Transaction tab column summarized in the pivot table cause such column to be dropped form the pivot table when it is refreshed.</t>
  </si>
  <si>
    <t>NOTE:  In that instance, manually update the LAYOUT of the pivot table to re-summarize the column that encountered a title change.</t>
  </si>
  <si>
    <t>NOTE:  The SUMMARY table in that tab contains GETPIVOTDATA functions that should still work as they reference tltle cells in Transactions tab.</t>
  </si>
  <si>
    <t>Update Rate Summary tab. (very manual process).</t>
  </si>
  <si>
    <t xml:space="preserve">            as contemplated in the AEP Formula Rate Protocols.</t>
  </si>
  <si>
    <t>NOTE:  "Rate Summary" tab is usually "walked-through" during customer meeting but not printed.</t>
  </si>
  <si>
    <t>NOTE:  Print to PDF the "Summary" tab as a supplement for customer Mtg handout and published PDFs.</t>
  </si>
  <si>
    <r>
      <t>Input Sched 9 ATRRs &amp; rates from prior 2 update's (projected) and this year's update (trueup)=</t>
    </r>
    <r>
      <rPr>
        <b/>
        <i/>
        <sz val="10"/>
        <rFont val="Arial"/>
        <family val="2"/>
      </rPr>
      <t>Transactions!J2:K8</t>
    </r>
  </si>
  <si>
    <t>SWEPCO-Valley</t>
  </si>
  <si>
    <t>* SPP bills customer on third business day, AEP receives on 24th or next business day.</t>
  </si>
  <si>
    <t>AECI</t>
  </si>
  <si>
    <t>Tax Rebilling Rate</t>
  </si>
  <si>
    <t>Tax True Up Billing</t>
  </si>
  <si>
    <t>Tax True Up</t>
  </si>
  <si>
    <t>2018 True Up Including Interest</t>
  </si>
  <si>
    <t>Sum of Tax True Up Billing</t>
  </si>
  <si>
    <t>Total Sum of Tax True Up Billing</t>
  </si>
  <si>
    <t>Sum of Tax True Up</t>
  </si>
  <si>
    <t>Total Sum of Tax True Up</t>
  </si>
  <si>
    <t>(G) = (D) + (E) - (F)</t>
  </si>
  <si>
    <t>(G)</t>
  </si>
  <si>
    <t>January - December</t>
  </si>
  <si>
    <t>AEP SOUTHWESTERN TRANSMISSION</t>
  </si>
  <si>
    <t xml:space="preserve">    &lt;&lt; SOUTHWESTERN TRANSMISSION COMPANY &gt;&gt;</t>
  </si>
  <si>
    <t>AEPTCo Formula Rate -- FERC Docket ER18-194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</si>
</sst>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00%"/>
    <numFmt numFmtId="166" formatCode="_(&quot;$&quot;* #,##0_);_(&quot;$&quot;* \(#,##0\);_(&quot;$&quot;* &quot;-&quot;??_);_(@_)"/>
    <numFmt numFmtId="167" formatCode="_(* #,##0_);_(* \(#,##0\);_(* &quot;-&quot;??_);_(@_)"/>
    <numFmt numFmtId="168" formatCode="&quot;$&quot;#,##0"/>
    <numFmt numFmtId="169" formatCode="yyyy"/>
    <numFmt numFmtId="170" formatCode="mmm"/>
    <numFmt numFmtId="171" formatCode="0.0%"/>
    <numFmt numFmtId="172" formatCode="mmm\'yy"/>
    <numFmt numFmtId="173" formatCode="_(* #,##0.0_);_(* \(#,##0.0\);_(* &quot;-&quot;??_);_(@_)"/>
    <numFmt numFmtId="174" formatCode="0.000000"/>
    <numFmt numFmtId="175" formatCode="0.00000"/>
    <numFmt numFmtId="176" formatCode="0.0000"/>
    <numFmt numFmtId="177" formatCode="0.000"/>
    <numFmt numFmtId="178" formatCode="0.0"/>
    <numFmt numFmtId="179" formatCode="&quot;$&quot;#,##0.0"/>
  </numFmts>
  <fonts count="55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2"/>
      <name val="Arial"/>
      <family val="2"/>
    </font>
    <font>
      <sz val="8"/>
      <color indexed="12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sz val="8"/>
      <name val="Tahoma"/>
      <family val="2"/>
    </font>
    <font>
      <b/>
      <sz val="8"/>
      <name val="Tahoma"/>
      <family val="2"/>
    </font>
    <font>
      <i/>
      <sz val="9"/>
      <color indexed="10"/>
      <name val="Arial"/>
      <family val="2"/>
    </font>
    <font>
      <b/>
      <sz val="10"/>
      <color indexed="12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FF"/>
      <name val="Arial"/>
      <family val="2"/>
    </font>
    <font>
      <sz val="8"/>
      <color rgb="FF0066FF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>
        <color rgb="FF999999"/>
      </left>
      <right>
        <color indexed="63"/>
      </right>
      <top style="thin">
        <color rgb="FF999999"/>
      </top>
      <bottom>
        <color indexed="63"/>
      </bottom>
    </border>
    <border>
      <left style="thin"/>
      <right>
        <color indexed="63"/>
      </right>
      <top style="thin">
        <color rgb="FF999999"/>
      </top>
      <bottom>
        <color indexed="63"/>
      </bottom>
    </border>
    <border>
      <left style="thin"/>
      <right style="thin">
        <color rgb="FF999999"/>
      </right>
      <top style="thin">
        <color rgb="FF999999"/>
      </top>
      <bottom>
        <color indexed="63"/>
      </bottom>
    </border>
    <border>
      <left>
        <color indexed="63"/>
      </left>
      <right>
        <color indexed="63"/>
      </right>
      <top style="thin">
        <color rgb="FF999999"/>
      </top>
      <bottom>
        <color indexed="63"/>
      </bottom>
    </border>
    <border>
      <left style="thin">
        <color rgb="FF999999"/>
      </left>
      <right style="thin">
        <color rgb="FF999999"/>
      </right>
      <top style="thin">
        <color rgb="FF999999"/>
      </top>
      <bottom>
        <color indexed="63"/>
      </bottom>
    </border>
    <border>
      <left style="thin">
        <color rgb="FF999999"/>
      </left>
      <right>
        <color indexed="63"/>
      </right>
      <top>
        <color indexed="63"/>
      </top>
      <bottom>
        <color indexed="63"/>
      </bottom>
    </border>
    <border>
      <left style="thin">
        <color rgb="FF999999"/>
      </left>
      <right>
        <color indexed="63"/>
      </right>
      <top style="thin">
        <color rgb="FF999999"/>
      </top>
      <bottom style="thin">
        <color rgb="FF999999"/>
      </bottom>
    </border>
    <border>
      <left style="thin">
        <color rgb="FF999999"/>
      </left>
      <right style="thin">
        <color rgb="FF99999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999999"/>
      </top>
      <bottom style="thin">
        <color rgb="FF999999"/>
      </bottom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</border>
    <border>
      <left style="thin">
        <color rgb="FF99999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rgb="FF999999"/>
      </top>
      <bottom style="thin">
        <color rgb="FF99999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 horizontal="left"/>
    </xf>
    <xf numFmtId="164" fontId="0" fillId="0" borderId="0" xfId="0" applyNumberFormat="1" applyAlignment="1">
      <alignment horizontal="center"/>
    </xf>
    <xf numFmtId="10" fontId="0" fillId="0" borderId="0" xfId="60" applyNumberFormat="1" applyFont="1" applyAlignment="1">
      <alignment horizontal="center"/>
    </xf>
    <xf numFmtId="0" fontId="0" fillId="0" borderId="0" xfId="0" applyBorder="1" applyAlignment="1">
      <alignment/>
    </xf>
    <xf numFmtId="17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Border="1" applyAlignment="1" quotePrefix="1">
      <alignment horizontal="center"/>
    </xf>
    <xf numFmtId="0" fontId="0" fillId="0" borderId="10" xfId="0" applyBorder="1" applyAlignment="1">
      <alignment horizontal="center"/>
    </xf>
    <xf numFmtId="0" fontId="2" fillId="0" borderId="11" xfId="0" applyFont="1" applyBorder="1" applyAlignment="1" quotePrefix="1">
      <alignment horizontal="center"/>
    </xf>
    <xf numFmtId="0" fontId="0" fillId="0" borderId="0" xfId="0" applyAlignment="1" quotePrefix="1">
      <alignment horizontal="left"/>
    </xf>
    <xf numFmtId="0" fontId="0" fillId="0" borderId="12" xfId="0" applyBorder="1" applyAlignment="1">
      <alignment/>
    </xf>
    <xf numFmtId="164" fontId="3" fillId="0" borderId="0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164" fontId="0" fillId="0" borderId="10" xfId="0" applyNumberFormat="1" applyBorder="1" applyAlignment="1">
      <alignment horizontal="right"/>
    </xf>
    <xf numFmtId="0" fontId="0" fillId="0" borderId="0" xfId="0" applyBorder="1" applyAlignment="1" quotePrefix="1">
      <alignment horizontal="left"/>
    </xf>
    <xf numFmtId="44" fontId="3" fillId="0" borderId="0" xfId="44" applyFont="1" applyAlignment="1">
      <alignment horizontal="center"/>
    </xf>
    <xf numFmtId="44" fontId="3" fillId="0" borderId="0" xfId="44" applyNumberFormat="1" applyFont="1" applyAlignment="1">
      <alignment horizontal="center"/>
    </xf>
    <xf numFmtId="0" fontId="0" fillId="0" borderId="0" xfId="0" applyFill="1" applyAlignment="1">
      <alignment/>
    </xf>
    <xf numFmtId="164" fontId="2" fillId="0" borderId="1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164" fontId="3" fillId="0" borderId="0" xfId="0" applyNumberFormat="1" applyFont="1" applyAlignment="1">
      <alignment horizontal="left"/>
    </xf>
    <xf numFmtId="164" fontId="0" fillId="0" borderId="0" xfId="0" applyNumberFormat="1" applyFont="1" applyBorder="1" applyAlignment="1">
      <alignment horizontal="right"/>
    </xf>
    <xf numFmtId="164" fontId="0" fillId="0" borderId="0" xfId="0" applyNumberFormat="1" applyFont="1" applyAlignment="1">
      <alignment horizontal="right"/>
    </xf>
    <xf numFmtId="164" fontId="0" fillId="0" borderId="0" xfId="0" applyNumberFormat="1" applyBorder="1" applyAlignment="1">
      <alignment/>
    </xf>
    <xf numFmtId="164" fontId="0" fillId="0" borderId="0" xfId="0" applyNumberFormat="1" applyFont="1" applyAlignment="1">
      <alignment/>
    </xf>
    <xf numFmtId="0" fontId="0" fillId="0" borderId="14" xfId="0" applyBorder="1" applyAlignment="1">
      <alignment horizontal="center"/>
    </xf>
    <xf numFmtId="9" fontId="0" fillId="0" borderId="0" xfId="60" applyFont="1" applyAlignment="1">
      <alignment horizontal="center"/>
    </xf>
    <xf numFmtId="166" fontId="0" fillId="0" borderId="0" xfId="44" applyNumberFormat="1" applyFont="1" applyAlignment="1">
      <alignment horizontal="center"/>
    </xf>
    <xf numFmtId="0" fontId="0" fillId="0" borderId="15" xfId="0" applyBorder="1" applyAlignment="1">
      <alignment/>
    </xf>
    <xf numFmtId="14" fontId="0" fillId="0" borderId="0" xfId="0" applyNumberFormat="1" applyBorder="1" applyAlignment="1" quotePrefix="1">
      <alignment horizontal="left"/>
    </xf>
    <xf numFmtId="167" fontId="0" fillId="0" borderId="0" xfId="42" applyNumberFormat="1" applyFont="1" applyFill="1" applyAlignment="1">
      <alignment horizontal="right"/>
    </xf>
    <xf numFmtId="164" fontId="0" fillId="0" borderId="0" xfId="0" applyNumberFormat="1" applyFill="1" applyBorder="1" applyAlignment="1">
      <alignment/>
    </xf>
    <xf numFmtId="164" fontId="0" fillId="0" borderId="0" xfId="0" applyNumberFormat="1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/>
    </xf>
    <xf numFmtId="14" fontId="0" fillId="0" borderId="16" xfId="0" applyNumberFormat="1" applyFill="1" applyBorder="1" applyAlignment="1" quotePrefix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 horizontal="center"/>
    </xf>
    <xf numFmtId="167" fontId="0" fillId="0" borderId="0" xfId="42" applyNumberFormat="1" applyFont="1" applyFill="1" applyAlignment="1" quotePrefix="1">
      <alignment horizontal="left"/>
    </xf>
    <xf numFmtId="17" fontId="0" fillId="0" borderId="15" xfId="0" applyNumberFormat="1" applyBorder="1" applyAlignment="1">
      <alignment horizontal="center"/>
    </xf>
    <xf numFmtId="0" fontId="0" fillId="0" borderId="15" xfId="0" applyBorder="1" applyAlignment="1" quotePrefix="1">
      <alignment horizontal="left"/>
    </xf>
    <xf numFmtId="164" fontId="0" fillId="0" borderId="15" xfId="0" applyNumberFormat="1" applyFont="1" applyBorder="1" applyAlignment="1">
      <alignment horizontal="right"/>
    </xf>
    <xf numFmtId="164" fontId="0" fillId="0" borderId="15" xfId="0" applyNumberFormat="1" applyFill="1" applyBorder="1" applyAlignment="1">
      <alignment/>
    </xf>
    <xf numFmtId="164" fontId="0" fillId="0" borderId="15" xfId="0" applyNumberFormat="1" applyFont="1" applyFill="1" applyBorder="1" applyAlignment="1">
      <alignment/>
    </xf>
    <xf numFmtId="164" fontId="2" fillId="0" borderId="17" xfId="0" applyNumberFormat="1" applyFont="1" applyBorder="1" applyAlignment="1" quotePrefix="1">
      <alignment horizontal="center" vertical="center" wrapText="1"/>
    </xf>
    <xf numFmtId="164" fontId="2" fillId="0" borderId="18" xfId="0" applyNumberFormat="1" applyFont="1" applyBorder="1" applyAlignment="1" quotePrefix="1">
      <alignment horizontal="center" vertical="center" wrapText="1"/>
    </xf>
    <xf numFmtId="0" fontId="2" fillId="0" borderId="18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164" fontId="2" fillId="0" borderId="18" xfId="0" applyNumberFormat="1" applyFont="1" applyBorder="1" applyAlignment="1">
      <alignment horizontal="center" vertical="center" wrapText="1"/>
    </xf>
    <xf numFmtId="164" fontId="2" fillId="0" borderId="19" xfId="0" applyNumberFormat="1" applyFont="1" applyBorder="1" applyAlignment="1">
      <alignment horizontal="center" vertical="center" wrapText="1"/>
    </xf>
    <xf numFmtId="0" fontId="2" fillId="0" borderId="18" xfId="0" applyFont="1" applyBorder="1" applyAlignment="1" quotePrefix="1">
      <alignment horizontal="center" vertical="center"/>
    </xf>
    <xf numFmtId="44" fontId="3" fillId="0" borderId="12" xfId="44" applyFont="1" applyBorder="1" applyAlignment="1">
      <alignment horizontal="center"/>
    </xf>
    <xf numFmtId="0" fontId="0" fillId="0" borderId="0" xfId="0" applyFont="1" applyAlignment="1" quotePrefix="1">
      <alignment horizontal="left"/>
    </xf>
    <xf numFmtId="14" fontId="0" fillId="0" borderId="16" xfId="0" applyNumberFormat="1" applyFont="1" applyFill="1" applyBorder="1" applyAlignment="1" quotePrefix="1">
      <alignment horizontal="left"/>
    </xf>
    <xf numFmtId="0" fontId="6" fillId="33" borderId="0" xfId="0" applyFont="1" applyFill="1" applyBorder="1" applyAlignment="1">
      <alignment horizontal="left"/>
    </xf>
    <xf numFmtId="14" fontId="6" fillId="33" borderId="0" xfId="0" applyNumberFormat="1" applyFont="1" applyFill="1" applyBorder="1" applyAlignment="1">
      <alignment horizontal="left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4" xfId="0" applyBorder="1" applyAlignment="1">
      <alignment horizontal="left"/>
    </xf>
    <xf numFmtId="164" fontId="8" fillId="0" borderId="23" xfId="0" applyNumberFormat="1" applyFont="1" applyBorder="1" applyAlignment="1">
      <alignment horizontal="center" wrapText="1"/>
    </xf>
    <xf numFmtId="164" fontId="2" fillId="0" borderId="23" xfId="0" applyNumberFormat="1" applyFont="1" applyBorder="1" applyAlignment="1" quotePrefix="1">
      <alignment horizontal="center" wrapText="1"/>
    </xf>
    <xf numFmtId="168" fontId="0" fillId="0" borderId="18" xfId="0" applyNumberFormat="1" applyBorder="1" applyAlignment="1">
      <alignment horizontal="center"/>
    </xf>
    <xf numFmtId="168" fontId="0" fillId="0" borderId="19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168" fontId="0" fillId="34" borderId="24" xfId="0" applyNumberFormat="1" applyFill="1" applyBorder="1" applyAlignment="1">
      <alignment horizontal="center"/>
    </xf>
    <xf numFmtId="164" fontId="3" fillId="0" borderId="12" xfId="0" applyNumberFormat="1" applyFont="1" applyBorder="1" applyAlignment="1">
      <alignment horizontal="right"/>
    </xf>
    <xf numFmtId="17" fontId="0" fillId="0" borderId="25" xfId="0" applyNumberFormat="1" applyBorder="1" applyAlignment="1">
      <alignment horizontal="center"/>
    </xf>
    <xf numFmtId="14" fontId="6" fillId="33" borderId="25" xfId="0" applyNumberFormat="1" applyFont="1" applyFill="1" applyBorder="1" applyAlignment="1">
      <alignment horizontal="left"/>
    </xf>
    <xf numFmtId="0" fontId="0" fillId="0" borderId="25" xfId="0" applyBorder="1" applyAlignment="1">
      <alignment horizontal="center"/>
    </xf>
    <xf numFmtId="0" fontId="0" fillId="0" borderId="25" xfId="0" applyBorder="1" applyAlignment="1">
      <alignment/>
    </xf>
    <xf numFmtId="168" fontId="0" fillId="0" borderId="0" xfId="0" applyNumberFormat="1" applyFont="1" applyFill="1" applyBorder="1" applyAlignment="1">
      <alignment horizontal="right"/>
    </xf>
    <xf numFmtId="164" fontId="0" fillId="0" borderId="14" xfId="0" applyNumberFormat="1" applyFont="1" applyFill="1" applyBorder="1" applyAlignment="1">
      <alignment horizontal="right"/>
    </xf>
    <xf numFmtId="0" fontId="0" fillId="0" borderId="0" xfId="0" applyFont="1" applyAlignment="1" quotePrefix="1">
      <alignment horizontal="left"/>
    </xf>
    <xf numFmtId="166" fontId="0" fillId="0" borderId="0" xfId="44" applyNumberFormat="1" applyFont="1" applyBorder="1" applyAlignment="1">
      <alignment/>
    </xf>
    <xf numFmtId="0" fontId="0" fillId="0" borderId="20" xfId="0" applyBorder="1" applyAlignment="1">
      <alignment/>
    </xf>
    <xf numFmtId="166" fontId="0" fillId="0" borderId="16" xfId="44" applyNumberFormat="1" applyFont="1" applyBorder="1" applyAlignment="1">
      <alignment/>
    </xf>
    <xf numFmtId="166" fontId="0" fillId="0" borderId="26" xfId="44" applyNumberFormat="1" applyFont="1" applyBorder="1" applyAlignment="1">
      <alignment/>
    </xf>
    <xf numFmtId="0" fontId="0" fillId="0" borderId="27" xfId="0" applyBorder="1" applyAlignment="1">
      <alignment/>
    </xf>
    <xf numFmtId="0" fontId="1" fillId="0" borderId="28" xfId="0" applyFont="1" applyBorder="1" applyAlignment="1" quotePrefix="1">
      <alignment horizontal="center" vertical="center" wrapText="1"/>
    </xf>
    <xf numFmtId="0" fontId="1" fillId="0" borderId="23" xfId="0" applyFont="1" applyBorder="1" applyAlignment="1" quotePrefix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quotePrefix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 quotePrefix="1">
      <alignment horizontal="center" vertical="center"/>
    </xf>
    <xf numFmtId="168" fontId="0" fillId="0" borderId="15" xfId="0" applyNumberFormat="1" applyFont="1" applyFill="1" applyBorder="1" applyAlignment="1" quotePrefix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2" fillId="0" borderId="30" xfId="0" applyFont="1" applyBorder="1" applyAlignment="1">
      <alignment vertical="center"/>
    </xf>
    <xf numFmtId="0" fontId="12" fillId="0" borderId="22" xfId="0" applyFont="1" applyBorder="1" applyAlignment="1">
      <alignment vertical="center"/>
    </xf>
    <xf numFmtId="0" fontId="10" fillId="0" borderId="14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20" xfId="0" applyBorder="1" applyAlignment="1" quotePrefix="1">
      <alignment horizontal="left"/>
    </xf>
    <xf numFmtId="0" fontId="1" fillId="0" borderId="29" xfId="0" applyFont="1" applyBorder="1" applyAlignment="1">
      <alignment horizontal="center"/>
    </xf>
    <xf numFmtId="0" fontId="10" fillId="0" borderId="15" xfId="0" applyFont="1" applyFill="1" applyBorder="1" applyAlignment="1" quotePrefix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11" fillId="0" borderId="0" xfId="0" applyFont="1" applyFill="1" applyBorder="1" applyAlignment="1" quotePrefix="1">
      <alignment horizontal="left"/>
    </xf>
    <xf numFmtId="0" fontId="12" fillId="0" borderId="0" xfId="0" applyFont="1" applyBorder="1" applyAlignment="1" quotePrefix="1">
      <alignment horizontal="left" vertical="center"/>
    </xf>
    <xf numFmtId="0" fontId="12" fillId="0" borderId="29" xfId="0" applyFont="1" applyBorder="1" applyAlignment="1" quotePrefix="1">
      <alignment horizontal="left" vertical="center"/>
    </xf>
    <xf numFmtId="0" fontId="12" fillId="0" borderId="33" xfId="0" applyFont="1" applyBorder="1" applyAlignment="1" quotePrefix="1">
      <alignment horizontal="left" vertical="center"/>
    </xf>
    <xf numFmtId="0" fontId="12" fillId="0" borderId="20" xfId="0" applyFont="1" applyBorder="1" applyAlignment="1" quotePrefix="1">
      <alignment horizontal="left" vertical="center"/>
    </xf>
    <xf numFmtId="0" fontId="1" fillId="0" borderId="34" xfId="0" applyFont="1" applyBorder="1" applyAlignment="1" quotePrefix="1">
      <alignment horizontal="center" vertical="center" wrapText="1"/>
    </xf>
    <xf numFmtId="0" fontId="12" fillId="0" borderId="35" xfId="0" applyFont="1" applyBorder="1" applyAlignment="1" quotePrefix="1">
      <alignment horizontal="right"/>
    </xf>
    <xf numFmtId="0" fontId="13" fillId="0" borderId="14" xfId="0" applyFont="1" applyFill="1" applyBorder="1" applyAlignment="1" quotePrefix="1">
      <alignment horizontal="center" vertical="center"/>
    </xf>
    <xf numFmtId="0" fontId="12" fillId="0" borderId="14" xfId="0" applyFont="1" applyBorder="1" applyAlignment="1" quotePrefix="1">
      <alignment horizontal="left" vertical="center"/>
    </xf>
    <xf numFmtId="0" fontId="12" fillId="0" borderId="15" xfId="0" applyFont="1" applyBorder="1" applyAlignment="1" quotePrefix="1">
      <alignment horizontal="left" vertical="center"/>
    </xf>
    <xf numFmtId="0" fontId="0" fillId="0" borderId="12" xfId="0" applyBorder="1" applyAlignment="1" quotePrefix="1">
      <alignment horizontal="right"/>
    </xf>
    <xf numFmtId="0" fontId="0" fillId="0" borderId="12" xfId="0" applyBorder="1" applyAlignment="1">
      <alignment horizontal="center"/>
    </xf>
    <xf numFmtId="166" fontId="0" fillId="0" borderId="36" xfId="44" applyNumberFormat="1" applyFont="1" applyBorder="1" applyAlignment="1">
      <alignment vertical="center"/>
    </xf>
    <xf numFmtId="166" fontId="0" fillId="0" borderId="37" xfId="44" applyNumberFormat="1" applyFont="1" applyBorder="1" applyAlignment="1">
      <alignment vertical="center"/>
    </xf>
    <xf numFmtId="166" fontId="0" fillId="0" borderId="38" xfId="44" applyNumberFormat="1" applyFont="1" applyBorder="1" applyAlignment="1">
      <alignment vertical="center"/>
    </xf>
    <xf numFmtId="0" fontId="8" fillId="0" borderId="22" xfId="0" applyFont="1" applyBorder="1" applyAlignment="1" quotePrefix="1">
      <alignment horizontal="center" vertical="center" wrapText="1"/>
    </xf>
    <xf numFmtId="43" fontId="0" fillId="0" borderId="0" xfId="0" applyNumberFormat="1" applyBorder="1" applyAlignment="1">
      <alignment/>
    </xf>
    <xf numFmtId="166" fontId="0" fillId="0" borderId="0" xfId="0" applyNumberFormat="1" applyAlignment="1">
      <alignment/>
    </xf>
    <xf numFmtId="0" fontId="12" fillId="0" borderId="33" xfId="0" applyFont="1" applyBorder="1" applyAlignment="1" quotePrefix="1">
      <alignment horizontal="center"/>
    </xf>
    <xf numFmtId="14" fontId="0" fillId="0" borderId="25" xfId="0" applyNumberFormat="1" applyFont="1" applyFill="1" applyBorder="1" applyAlignment="1">
      <alignment/>
    </xf>
    <xf numFmtId="14" fontId="0" fillId="0" borderId="0" xfId="0" applyNumberFormat="1" applyFont="1" applyFill="1" applyBorder="1" applyAlignment="1">
      <alignment/>
    </xf>
    <xf numFmtId="164" fontId="3" fillId="0" borderId="0" xfId="0" applyNumberFormat="1" applyFont="1" applyBorder="1" applyAlignment="1">
      <alignment/>
    </xf>
    <xf numFmtId="164" fontId="3" fillId="0" borderId="15" xfId="0" applyNumberFormat="1" applyFont="1" applyBorder="1" applyAlignment="1">
      <alignment/>
    </xf>
    <xf numFmtId="0" fontId="2" fillId="0" borderId="18" xfId="0" applyFont="1" applyBorder="1" applyAlignment="1" quotePrefix="1">
      <alignment horizontal="center" vertical="center" wrapText="1"/>
    </xf>
    <xf numFmtId="164" fontId="3" fillId="0" borderId="0" xfId="0" applyNumberFormat="1" applyFont="1" applyBorder="1" applyAlignment="1">
      <alignment horizontal="center"/>
    </xf>
    <xf numFmtId="0" fontId="1" fillId="0" borderId="39" xfId="0" applyFont="1" applyBorder="1" applyAlignment="1" quotePrefix="1">
      <alignment horizontal="left" vertical="center" wrapText="1"/>
    </xf>
    <xf numFmtId="0" fontId="8" fillId="0" borderId="40" xfId="0" applyFont="1" applyFill="1" applyBorder="1" applyAlignment="1" quotePrefix="1">
      <alignment horizontal="left" vertical="center" wrapText="1"/>
    </xf>
    <xf numFmtId="166" fontId="0" fillId="0" borderId="17" xfId="44" applyNumberFormat="1" applyFont="1" applyFill="1" applyBorder="1" applyAlignment="1">
      <alignment vertical="center"/>
    </xf>
    <xf numFmtId="166" fontId="0" fillId="0" borderId="18" xfId="44" applyNumberFormat="1" applyFont="1" applyFill="1" applyBorder="1" applyAlignment="1">
      <alignment vertical="center"/>
    </xf>
    <xf numFmtId="166" fontId="1" fillId="0" borderId="41" xfId="44" applyNumberFormat="1" applyFont="1" applyFill="1" applyBorder="1" applyAlignment="1">
      <alignment vertical="center"/>
    </xf>
    <xf numFmtId="164" fontId="1" fillId="0" borderId="24" xfId="0" applyNumberFormat="1" applyFont="1" applyBorder="1" applyAlignment="1">
      <alignment horizontal="right"/>
    </xf>
    <xf numFmtId="14" fontId="0" fillId="0" borderId="15" xfId="0" applyNumberFormat="1" applyFont="1" applyFill="1" applyBorder="1" applyAlignment="1">
      <alignment/>
    </xf>
    <xf numFmtId="164" fontId="1" fillId="0" borderId="13" xfId="0" applyNumberFormat="1" applyFont="1" applyBorder="1" applyAlignment="1">
      <alignment horizontal="right"/>
    </xf>
    <xf numFmtId="0" fontId="0" fillId="0" borderId="18" xfId="0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164" fontId="0" fillId="0" borderId="14" xfId="0" applyNumberFormat="1" applyFont="1" applyFill="1" applyBorder="1" applyAlignment="1" quotePrefix="1">
      <alignment horizontal="center" vertical="center"/>
    </xf>
    <xf numFmtId="164" fontId="2" fillId="35" borderId="18" xfId="0" applyNumberFormat="1" applyFont="1" applyFill="1" applyBorder="1" applyAlignment="1" quotePrefix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31" xfId="0" applyFont="1" applyBorder="1" applyAlignment="1" quotePrefix="1">
      <alignment horizontal="center" vertical="center" wrapText="1"/>
    </xf>
    <xf numFmtId="164" fontId="2" fillId="0" borderId="23" xfId="0" applyNumberFormat="1" applyFont="1" applyBorder="1" applyAlignment="1">
      <alignment horizontal="center" wrapText="1"/>
    </xf>
    <xf numFmtId="0" fontId="0" fillId="0" borderId="0" xfId="0" applyBorder="1" applyAlignment="1" quotePrefix="1">
      <alignment horizontal="center"/>
    </xf>
    <xf numFmtId="0" fontId="0" fillId="0" borderId="0" xfId="0" applyFont="1" applyBorder="1" applyAlignment="1" quotePrefix="1">
      <alignment horizontal="center"/>
    </xf>
    <xf numFmtId="0" fontId="0" fillId="0" borderId="21" xfId="0" applyBorder="1" applyAlignment="1">
      <alignment/>
    </xf>
    <xf numFmtId="171" fontId="0" fillId="0" borderId="21" xfId="60" applyNumberFormat="1" applyFont="1" applyBorder="1" applyAlignment="1">
      <alignment horizontal="center"/>
    </xf>
    <xf numFmtId="171" fontId="0" fillId="0" borderId="21" xfId="0" applyNumberFormat="1" applyBorder="1" applyAlignment="1">
      <alignment/>
    </xf>
    <xf numFmtId="164" fontId="0" fillId="0" borderId="0" xfId="0" applyNumberForma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42" xfId="0" applyBorder="1" applyAlignment="1">
      <alignment/>
    </xf>
    <xf numFmtId="164" fontId="2" fillId="0" borderId="0" xfId="0" applyNumberFormat="1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164" fontId="2" fillId="0" borderId="33" xfId="0" applyNumberFormat="1" applyFont="1" applyBorder="1" applyAlignment="1">
      <alignment horizontal="center"/>
    </xf>
    <xf numFmtId="164" fontId="2" fillId="0" borderId="29" xfId="0" applyNumberFormat="1" applyFont="1" applyBorder="1" applyAlignment="1">
      <alignment horizontal="centerContinuous"/>
    </xf>
    <xf numFmtId="0" fontId="0" fillId="0" borderId="29" xfId="0" applyBorder="1" applyAlignment="1">
      <alignment horizontal="centerContinuous"/>
    </xf>
    <xf numFmtId="164" fontId="2" fillId="0" borderId="20" xfId="0" applyNumberFormat="1" applyFont="1" applyBorder="1" applyAlignment="1">
      <alignment horizontal="center"/>
    </xf>
    <xf numFmtId="168" fontId="0" fillId="0" borderId="29" xfId="0" applyNumberFormat="1" applyFont="1" applyFill="1" applyBorder="1" applyAlignment="1">
      <alignment horizontal="center" vertical="center"/>
    </xf>
    <xf numFmtId="168" fontId="0" fillId="0" borderId="35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 quotePrefix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164" fontId="0" fillId="0" borderId="21" xfId="0" applyNumberFormat="1" applyFont="1" applyFill="1" applyBorder="1" applyAlignment="1" quotePrefix="1">
      <alignment horizontal="center" vertical="center"/>
    </xf>
    <xf numFmtId="0" fontId="8" fillId="36" borderId="40" xfId="0" applyFont="1" applyFill="1" applyBorder="1" applyAlignment="1" quotePrefix="1">
      <alignment horizontal="left" vertical="center" wrapText="1"/>
    </xf>
    <xf numFmtId="166" fontId="0" fillId="36" borderId="17" xfId="44" applyNumberFormat="1" applyFont="1" applyFill="1" applyBorder="1" applyAlignment="1">
      <alignment vertical="center"/>
    </xf>
    <xf numFmtId="166" fontId="0" fillId="36" borderId="18" xfId="44" applyNumberFormat="1" applyFont="1" applyFill="1" applyBorder="1" applyAlignment="1">
      <alignment vertical="center"/>
    </xf>
    <xf numFmtId="166" fontId="1" fillId="36" borderId="41" xfId="44" applyNumberFormat="1" applyFont="1" applyFill="1" applyBorder="1" applyAlignment="1">
      <alignment vertical="center"/>
    </xf>
    <xf numFmtId="164" fontId="16" fillId="0" borderId="0" xfId="0" applyNumberFormat="1" applyFont="1" applyFill="1" applyBorder="1" applyAlignment="1" quotePrefix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 quotePrefix="1">
      <alignment horizontal="center"/>
    </xf>
    <xf numFmtId="164" fontId="16" fillId="0" borderId="14" xfId="0" applyNumberFormat="1" applyFont="1" applyFill="1" applyBorder="1" applyAlignment="1" quotePrefix="1">
      <alignment horizontal="left"/>
    </xf>
    <xf numFmtId="10" fontId="0" fillId="0" borderId="14" xfId="60" applyNumberFormat="1" applyFont="1" applyFill="1" applyBorder="1" applyAlignment="1" quotePrefix="1">
      <alignment horizontal="center"/>
    </xf>
    <xf numFmtId="0" fontId="11" fillId="0" borderId="0" xfId="0" applyFont="1" applyAlignment="1" quotePrefix="1">
      <alignment horizontal="center" vertical="center" wrapText="1"/>
    </xf>
    <xf numFmtId="0" fontId="0" fillId="33" borderId="0" xfId="0" applyFill="1" applyAlignment="1">
      <alignment/>
    </xf>
    <xf numFmtId="0" fontId="0" fillId="0" borderId="0" xfId="0" applyFont="1" applyAlignment="1" quotePrefix="1">
      <alignment horizontal="left"/>
    </xf>
    <xf numFmtId="0" fontId="0" fillId="33" borderId="0" xfId="0" applyFont="1" applyFill="1" applyAlignment="1" quotePrefix="1">
      <alignment horizontal="left"/>
    </xf>
    <xf numFmtId="0" fontId="53" fillId="37" borderId="0" xfId="0" applyFont="1" applyFill="1" applyAlignment="1">
      <alignment/>
    </xf>
    <xf numFmtId="0" fontId="17" fillId="37" borderId="0" xfId="0" applyFont="1" applyFill="1" applyAlignment="1">
      <alignment/>
    </xf>
    <xf numFmtId="168" fontId="6" fillId="37" borderId="0" xfId="0" applyNumberFormat="1" applyFont="1" applyFill="1" applyBorder="1" applyAlignment="1">
      <alignment horizontal="right"/>
    </xf>
    <xf numFmtId="164" fontId="6" fillId="37" borderId="0" xfId="0" applyNumberFormat="1" applyFont="1" applyFill="1" applyBorder="1" applyAlignment="1">
      <alignment horizontal="right"/>
    </xf>
    <xf numFmtId="167" fontId="0" fillId="0" borderId="0" xfId="42" applyNumberFormat="1" applyFont="1" applyAlignment="1" quotePrefix="1">
      <alignment horizontal="left"/>
    </xf>
    <xf numFmtId="167" fontId="0" fillId="0" borderId="0" xfId="42" applyNumberFormat="1" applyFont="1" applyAlignment="1">
      <alignment/>
    </xf>
    <xf numFmtId="167" fontId="0" fillId="0" borderId="0" xfId="42" applyNumberFormat="1" applyFont="1" applyBorder="1" applyAlignment="1">
      <alignment/>
    </xf>
    <xf numFmtId="0" fontId="9" fillId="0" borderId="0" xfId="0" applyFont="1" applyAlignment="1" quotePrefix="1">
      <alignment horizontal="left"/>
    </xf>
    <xf numFmtId="164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0" fillId="0" borderId="43" xfId="0" applyBorder="1" applyAlignment="1" quotePrefix="1">
      <alignment horizontal="left"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10" fontId="54" fillId="0" borderId="0" xfId="60" applyNumberFormat="1" applyFont="1" applyBorder="1" applyAlignment="1" quotePrefix="1">
      <alignment horizontal="left"/>
    </xf>
    <xf numFmtId="14" fontId="0" fillId="0" borderId="15" xfId="0" applyNumberFormat="1" applyBorder="1" applyAlignment="1" quotePrefix="1">
      <alignment horizontal="left"/>
    </xf>
    <xf numFmtId="167" fontId="0" fillId="0" borderId="0" xfId="0" applyNumberFormat="1" applyAlignment="1">
      <alignment/>
    </xf>
    <xf numFmtId="14" fontId="6" fillId="37" borderId="0" xfId="57" applyNumberFormat="1" applyFont="1" applyFill="1" applyBorder="1">
      <alignment/>
      <protection/>
    </xf>
    <xf numFmtId="14" fontId="6" fillId="33" borderId="15" xfId="57" applyNumberFormat="1" applyFont="1" applyFill="1" applyBorder="1">
      <alignment/>
      <protection/>
    </xf>
    <xf numFmtId="14" fontId="6" fillId="37" borderId="15" xfId="57" applyNumberFormat="1" applyFont="1" applyFill="1" applyBorder="1">
      <alignment/>
      <protection/>
    </xf>
    <xf numFmtId="1" fontId="7" fillId="37" borderId="0" xfId="0" applyNumberFormat="1" applyFont="1" applyFill="1" applyBorder="1" applyAlignment="1">
      <alignment horizontal="center"/>
    </xf>
    <xf numFmtId="1" fontId="7" fillId="37" borderId="15" xfId="0" applyNumberFormat="1" applyFont="1" applyFill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4" xfId="0" applyBorder="1" applyAlignment="1">
      <alignment/>
    </xf>
    <xf numFmtId="0" fontId="0" fillId="0" borderId="46" xfId="0" applyBorder="1" applyAlignment="1">
      <alignment/>
    </xf>
    <xf numFmtId="17" fontId="0" fillId="0" borderId="44" xfId="0" applyNumberFormat="1" applyBorder="1" applyAlignment="1">
      <alignment/>
    </xf>
    <xf numFmtId="17" fontId="0" fillId="0" borderId="47" xfId="0" applyNumberFormat="1" applyBorder="1" applyAlignment="1">
      <alignment/>
    </xf>
    <xf numFmtId="17" fontId="0" fillId="0" borderId="48" xfId="0" applyNumberFormat="1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167" fontId="0" fillId="0" borderId="44" xfId="0" applyNumberFormat="1" applyBorder="1" applyAlignment="1">
      <alignment/>
    </xf>
    <xf numFmtId="167" fontId="0" fillId="0" borderId="47" xfId="0" applyNumberFormat="1" applyBorder="1" applyAlignment="1">
      <alignment/>
    </xf>
    <xf numFmtId="167" fontId="0" fillId="0" borderId="48" xfId="0" applyNumberFormat="1" applyBorder="1" applyAlignment="1">
      <alignment/>
    </xf>
    <xf numFmtId="167" fontId="11" fillId="0" borderId="49" xfId="0" applyNumberFormat="1" applyFont="1" applyBorder="1" applyAlignment="1">
      <alignment/>
    </xf>
    <xf numFmtId="167" fontId="11" fillId="0" borderId="0" xfId="0" applyNumberFormat="1" applyFont="1" applyAlignment="1">
      <alignment/>
    </xf>
    <xf numFmtId="167" fontId="11" fillId="0" borderId="51" xfId="0" applyNumberFormat="1" applyFont="1" applyBorder="1" applyAlignment="1">
      <alignment/>
    </xf>
    <xf numFmtId="167" fontId="0" fillId="0" borderId="49" xfId="0" applyNumberFormat="1" applyBorder="1" applyAlignment="1">
      <alignment/>
    </xf>
    <xf numFmtId="167" fontId="0" fillId="0" borderId="51" xfId="0" applyNumberFormat="1" applyBorder="1" applyAlignment="1">
      <alignment/>
    </xf>
    <xf numFmtId="167" fontId="11" fillId="0" borderId="44" xfId="0" applyNumberFormat="1" applyFont="1" applyBorder="1" applyAlignment="1">
      <alignment/>
    </xf>
    <xf numFmtId="167" fontId="11" fillId="0" borderId="47" xfId="0" applyNumberFormat="1" applyFont="1" applyBorder="1" applyAlignment="1">
      <alignment/>
    </xf>
    <xf numFmtId="167" fontId="11" fillId="0" borderId="48" xfId="0" applyNumberFormat="1" applyFont="1" applyBorder="1" applyAlignment="1">
      <alignment/>
    </xf>
    <xf numFmtId="167" fontId="0" fillId="0" borderId="50" xfId="0" applyNumberFormat="1" applyBorder="1" applyAlignment="1">
      <alignment/>
    </xf>
    <xf numFmtId="167" fontId="0" fillId="0" borderId="52" xfId="0" applyNumberFormat="1" applyBorder="1" applyAlignment="1">
      <alignment/>
    </xf>
    <xf numFmtId="167" fontId="0" fillId="0" borderId="53" xfId="0" applyNumberFormat="1" applyBorder="1" applyAlignment="1">
      <alignment/>
    </xf>
    <xf numFmtId="164" fontId="2" fillId="0" borderId="0" xfId="0" applyNumberFormat="1" applyFont="1" applyBorder="1" applyAlignment="1">
      <alignment horizontal="center" wrapText="1"/>
    </xf>
    <xf numFmtId="164" fontId="2" fillId="0" borderId="0" xfId="0" applyNumberFormat="1" applyFont="1" applyBorder="1" applyAlignment="1" quotePrefix="1">
      <alignment horizontal="center" wrapText="1"/>
    </xf>
    <xf numFmtId="164" fontId="2" fillId="0" borderId="0" xfId="0" applyNumberFormat="1" applyFont="1" applyBorder="1" applyAlignment="1">
      <alignment horizontal="center" wrapText="1"/>
    </xf>
    <xf numFmtId="171" fontId="0" fillId="0" borderId="0" xfId="60" applyNumberFormat="1" applyFont="1" applyBorder="1" applyAlignment="1">
      <alignment horizontal="center"/>
    </xf>
    <xf numFmtId="171" fontId="0" fillId="0" borderId="0" xfId="0" applyNumberFormat="1" applyBorder="1" applyAlignment="1">
      <alignment/>
    </xf>
    <xf numFmtId="164" fontId="2" fillId="0" borderId="11" xfId="0" applyNumberFormat="1" applyFont="1" applyBorder="1" applyAlignment="1">
      <alignment horizontal="center" vertical="center" wrapText="1"/>
    </xf>
    <xf numFmtId="164" fontId="0" fillId="0" borderId="11" xfId="0" applyNumberFormat="1" applyFont="1" applyBorder="1" applyAlignment="1">
      <alignment horizontal="right"/>
    </xf>
    <xf numFmtId="164" fontId="0" fillId="0" borderId="10" xfId="0" applyNumberFormat="1" applyBorder="1" applyAlignment="1">
      <alignment horizontal="center"/>
    </xf>
    <xf numFmtId="0" fontId="12" fillId="0" borderId="0" xfId="0" applyFont="1" applyBorder="1" applyAlignment="1" quotePrefix="1">
      <alignment horizontal="right"/>
    </xf>
    <xf numFmtId="0" fontId="11" fillId="0" borderId="0" xfId="0" applyFont="1" applyBorder="1" applyAlignment="1" quotePrefix="1">
      <alignment horizontal="center" vertical="center" wrapText="1"/>
    </xf>
    <xf numFmtId="168" fontId="0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 quotePrefix="1">
      <alignment horizontal="center" vertical="center"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1" fillId="0" borderId="0" xfId="0" applyFont="1" applyAlignment="1" quotePrefix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 quotePrefix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6">
    <dxf>
      <numFmt numFmtId="164" formatCode="&quot;$&quot;#,##0.00"/>
      <border/>
    </dxf>
    <dxf>
      <font>
        <name val="Arial Narrow"/>
      </font>
      <border/>
    </dxf>
    <dxf>
      <font>
        <name val="Arial Narrow"/>
      </font>
      <numFmt numFmtId="164" formatCode="&quot;$&quot;#,##0.00"/>
      <border/>
    </dxf>
    <dxf>
      <numFmt numFmtId="2" formatCode="0.00"/>
      <border/>
    </dxf>
    <dxf>
      <numFmt numFmtId="43" formatCode="_(* #,##0.00_);_(* \(#,##0.00\);_(* &quot;-&quot;??_);_(@_)"/>
      <border/>
    </dxf>
    <dxf>
      <numFmt numFmtId="167" formatCode="_(* #,##0_);_(* \(#,##0\);_(* &quot;-&quot;??_);_(@_)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9:R211" sheet="Transactions"/>
  </cacheSource>
  <cacheFields count="17">
    <cacheField name="Serivce Month">
      <sharedItems containsSemiMixedTypes="0" containsNonDate="0" containsDate="1" containsString="0" containsMixedTypes="0" count="108">
        <d v="2018-01-01T00:00:00.000"/>
        <d v="2018-02-01T00:00:00.000"/>
        <d v="2018-03-01T00:00:00.000"/>
        <d v="2018-04-01T00:00:00.000"/>
        <d v="2018-05-01T00:00:00.000"/>
        <d v="2018-06-01T00:00:00.000"/>
        <d v="2018-07-01T00:00:00.000"/>
        <d v="2018-08-01T00:00:00.000"/>
        <d v="2018-09-01T00:00:00.000"/>
        <d v="2018-10-01T00:00:00.000"/>
        <d v="2018-11-01T00:00:00.000"/>
        <d v="2018-12-01T00:00:00.000"/>
        <d v="2013-05-01T00:00:00.000"/>
        <d v="2014-05-01T00:00:00.000"/>
        <d v="2015-05-01T00:00:00.000"/>
        <d v="2016-05-01T00:00:00.000"/>
        <d v="2017-05-01T00:00:00.000"/>
        <d v="2010-11-01T00:00:00.000"/>
        <d v="2011-11-01T00:00:00.000"/>
        <d v="2012-11-01T00:00:00.000"/>
        <d v="2013-11-01T00:00:00.000"/>
        <d v="2014-11-01T00:00:00.000"/>
        <d v="2015-11-01T00:00:00.000"/>
        <d v="2016-11-01T00:00:00.000"/>
        <d v="2017-11-01T00:00:00.000"/>
        <d v="2010-06-01T00:00:00.000"/>
        <d v="2011-06-01T00:00:00.000"/>
        <d v="2012-06-01T00:00:00.000"/>
        <d v="2013-06-01T00:00:00.000"/>
        <d v="2014-06-01T00:00:00.000"/>
        <d v="2015-06-01T00:00:00.000"/>
        <d v="2016-06-01T00:00:00.000"/>
        <d v="2017-06-01T00:00:00.000"/>
        <d v="2010-12-01T00:00:00.000"/>
        <d v="2011-12-01T00:00:00.000"/>
        <d v="2012-12-01T00:00:00.000"/>
        <d v="2013-12-01T00:00:00.000"/>
        <d v="2014-12-01T00:00:00.000"/>
        <d v="2015-12-01T00:00:00.000"/>
        <d v="2016-12-01T00:00:00.000"/>
        <d v="2017-12-01T00:00:00.000"/>
        <d v="2010-01-01T00:00:00.000"/>
        <d v="2011-01-01T00:00:00.000"/>
        <d v="2012-01-01T00:00:00.000"/>
        <d v="2013-01-01T00:00:00.000"/>
        <d v="2014-01-01T00:00:00.000"/>
        <d v="2015-01-01T00:00:00.000"/>
        <d v="2016-01-01T00:00:00.000"/>
        <d v="2017-01-01T00:00:00.000"/>
        <d v="2010-07-01T00:00:00.000"/>
        <d v="2011-07-01T00:00:00.000"/>
        <d v="2012-07-01T00:00:00.000"/>
        <d v="2013-07-01T00:00:00.000"/>
        <d v="2014-07-01T00:00:00.000"/>
        <d v="2015-07-01T00:00:00.000"/>
        <d v="2016-07-01T00:00:00.000"/>
        <d v="2017-07-01T00:00:00.000"/>
        <d v="2010-02-01T00:00:00.000"/>
        <d v="2011-02-01T00:00:00.000"/>
        <d v="2012-02-01T00:00:00.000"/>
        <d v="2013-02-01T00:00:00.000"/>
        <d v="2014-02-01T00:00:00.000"/>
        <d v="2015-02-01T00:00:00.000"/>
        <d v="2016-02-01T00:00:00.000"/>
        <d v="2017-02-01T00:00:00.000"/>
        <d v="2010-08-01T00:00:00.000"/>
        <d v="2011-08-01T00:00:00.000"/>
        <d v="2012-08-01T00:00:00.000"/>
        <d v="2013-08-01T00:00:00.000"/>
        <d v="2014-08-01T00:00:00.000"/>
        <d v="2015-08-01T00:00:00.000"/>
        <d v="2016-08-01T00:00:00.000"/>
        <d v="2017-08-01T00:00:00.000"/>
        <d v="2010-03-01T00:00:00.000"/>
        <d v="2011-03-01T00:00:00.000"/>
        <d v="2012-03-01T00:00:00.000"/>
        <d v="2013-03-01T00:00:00.000"/>
        <d v="2014-03-01T00:00:00.000"/>
        <d v="2015-03-01T00:00:00.000"/>
        <d v="2016-03-01T00:00:00.000"/>
        <d v="2017-03-01T00:00:00.000"/>
        <d v="2010-09-01T00:00:00.000"/>
        <d v="2011-09-01T00:00:00.000"/>
        <d v="2012-09-01T00:00:00.000"/>
        <d v="2013-09-01T00:00:00.000"/>
        <d v="2014-09-01T00:00:00.000"/>
        <d v="2015-09-01T00:00:00.000"/>
        <d v="2016-09-01T00:00:00.000"/>
        <d v="2017-09-01T00:00:00.000"/>
        <d v="2010-04-01T00:00:00.000"/>
        <d v="2011-04-01T00:00:00.000"/>
        <d v="2012-04-01T00:00:00.000"/>
        <d v="2013-04-01T00:00:00.000"/>
        <d v="2014-04-01T00:00:00.000"/>
        <d v="2015-04-01T00:00:00.000"/>
        <d v="2016-04-01T00:00:00.000"/>
        <d v="2017-04-01T00:00:00.000"/>
        <d v="2010-10-01T00:00:00.000"/>
        <d v="2011-10-01T00:00:00.000"/>
        <d v="2012-10-01T00:00:00.000"/>
        <d v="2013-10-01T00:00:00.000"/>
        <d v="2014-10-01T00:00:00.000"/>
        <d v="2015-10-01T00:00:00.000"/>
        <d v="2016-10-01T00:00:00.000"/>
        <d v="2017-10-01T00:00:00.000"/>
        <d v="2010-05-01T00:00:00.000"/>
        <d v="2011-05-01T00:00:00.000"/>
        <d v="2012-05-01T00:00:00.000"/>
      </sharedItems>
    </cacheField>
    <cacheField name="Billing&#10;Date*">
      <sharedItems containsSemiMixedTypes="0" containsNonDate="0" containsDate="1" containsString="0" containsMixedTypes="0"/>
    </cacheField>
    <cacheField name="Payment Received*">
      <sharedItems containsSemiMixedTypes="0" containsNonDate="0" containsDate="1" containsString="0" containsMixedTypes="0"/>
    </cacheField>
    <cacheField name="Customer">
      <sharedItems containsMixedTypes="0" count="22">
        <s v="PSO"/>
        <s v="SWEPCO"/>
        <s v="SWEPCO-Valley"/>
        <s v="AECC"/>
        <s v="AECI"/>
        <s v="WFEC"/>
        <s v="OMPA"/>
        <s v="OG&amp;E"/>
        <s v="ETEC"/>
        <s v="Greenbelt"/>
        <s v="Lighthouse"/>
        <s v="Bentonville, AR"/>
        <s v="Prescott, AR"/>
        <s v="Minden, LA"/>
        <s v="Hope, AR"/>
        <s v="Coffeyville, KS"/>
        <s v="Bentonville"/>
        <s v="Hope"/>
        <s v="NTEC"/>
        <s v="TEXLA"/>
        <s v="Prescott"/>
        <s v="Minden"/>
      </sharedItems>
    </cacheField>
    <cacheField name="Sched.">
      <sharedItems containsSemiMixedTypes="0" containsString="0" containsMixedTypes="0" containsNumber="1" containsInteger="1"/>
    </cacheField>
    <cacheField name="MW">
      <sharedItems containsSemiMixedTypes="0" containsString="0" containsMixedTypes="0" containsNumber="1" containsInteger="1"/>
    </cacheField>
    <cacheField name="Projected Rate (as Invoiced)">
      <sharedItems containsSemiMixedTypes="0" containsString="0" containsMixedTypes="0" containsNumber="1"/>
    </cacheField>
    <cacheField name="Actual True-Up Rate">
      <sharedItems containsSemiMixedTypes="0" containsString="0" containsMixedTypes="0" containsNumber="1"/>
    </cacheField>
    <cacheField name="True-Up Charge">
      <sharedItems containsSemiMixedTypes="0" containsString="0" containsMixedTypes="0" containsNumber="1"/>
    </cacheField>
    <cacheField name="Invoiced*** Charge (proj.)">
      <sharedItems containsSemiMixedTypes="0" containsString="0" containsMixedTypes="0" containsNumber="1"/>
    </cacheField>
    <cacheField name="True-Up w/o Interest">
      <sharedItems containsSemiMixedTypes="0" containsString="0" containsMixedTypes="0" containsNumber="1"/>
    </cacheField>
    <cacheField name="Interest">
      <sharedItems containsSemiMixedTypes="0" containsString="0" containsMixedTypes="0" containsNumber="1"/>
    </cacheField>
    <cacheField name="2018 True Up Including Interest">
      <sharedItems containsSemiMixedTypes="0" containsString="0" containsMixedTypes="0" containsNumber="1"/>
    </cacheField>
    <cacheField name="Tax Rebilling Rate">
      <sharedItems containsSemiMixedTypes="0" containsString="0" containsMixedTypes="0" containsNumber="1"/>
    </cacheField>
    <cacheField name="Tax True Up Billing">
      <sharedItems containsSemiMixedTypes="0" containsString="0" containsMixedTypes="0" containsNumber="1"/>
    </cacheField>
    <cacheField name="Tax True Up">
      <sharedItems containsSemiMixedTypes="0" containsString="0" containsMixedTypes="0" containsNumber="1"/>
    </cacheField>
    <cacheField name="Total True-up">
      <sharedItems containsSemiMixedTypes="0" containsString="0" containsMixedTypes="0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2" cacheId="4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O123" firstHeaderRow="1" firstDataRow="2" firstDataCol="2"/>
  <pivotFields count="17">
    <pivotField axis="axisCol" compact="0" outline="0" subtotalTop="0" showAll="0" numFmtId="17">
      <items count="109">
        <item m="1" x="41"/>
        <item m="1" x="57"/>
        <item m="1" x="73"/>
        <item m="1" x="89"/>
        <item m="1" x="105"/>
        <item m="1" x="25"/>
        <item m="1" x="49"/>
        <item m="1" x="65"/>
        <item m="1" x="81"/>
        <item m="1" x="97"/>
        <item m="1" x="17"/>
        <item m="1" x="33"/>
        <item m="1" x="42"/>
        <item m="1" x="58"/>
        <item m="1" x="74"/>
        <item m="1" x="90"/>
        <item m="1" x="106"/>
        <item m="1" x="26"/>
        <item m="1" x="50"/>
        <item m="1" x="66"/>
        <item m="1" x="82"/>
        <item m="1" x="98"/>
        <item m="1" x="18"/>
        <item m="1" x="34"/>
        <item m="1" x="43"/>
        <item m="1" x="59"/>
        <item m="1" x="75"/>
        <item m="1" x="91"/>
        <item m="1" x="107"/>
        <item m="1" x="27"/>
        <item m="1" x="51"/>
        <item m="1" x="67"/>
        <item m="1" x="83"/>
        <item m="1" x="99"/>
        <item m="1" x="19"/>
        <item m="1" x="35"/>
        <item m="1" x="44"/>
        <item m="1" x="60"/>
        <item m="1" x="76"/>
        <item m="1" x="92"/>
        <item m="1" x="12"/>
        <item m="1" x="28"/>
        <item m="1" x="52"/>
        <item m="1" x="68"/>
        <item m="1" x="84"/>
        <item m="1" x="100"/>
        <item m="1" x="20"/>
        <item m="1" x="36"/>
        <item m="1" x="45"/>
        <item m="1" x="61"/>
        <item m="1" x="77"/>
        <item m="1" x="93"/>
        <item m="1" x="13"/>
        <item m="1" x="29"/>
        <item m="1" x="53"/>
        <item m="1" x="69"/>
        <item m="1" x="85"/>
        <item m="1" x="101"/>
        <item m="1" x="21"/>
        <item m="1" x="37"/>
        <item m="1" x="46"/>
        <item m="1" x="62"/>
        <item m="1" x="78"/>
        <item m="1" x="94"/>
        <item m="1" x="14"/>
        <item m="1" x="30"/>
        <item m="1" x="54"/>
        <item m="1" x="70"/>
        <item m="1" x="86"/>
        <item m="1" x="102"/>
        <item m="1" x="22"/>
        <item m="1" x="38"/>
        <item m="1" x="47"/>
        <item m="1" x="63"/>
        <item m="1" x="79"/>
        <item m="1" x="95"/>
        <item m="1" x="15"/>
        <item m="1" x="31"/>
        <item m="1" x="55"/>
        <item m="1" x="71"/>
        <item m="1" x="87"/>
        <item m="1" x="103"/>
        <item m="1" x="23"/>
        <item m="1" x="39"/>
        <item m="1" x="48"/>
        <item m="1" x="64"/>
        <item m="1" x="80"/>
        <item m="1" x="96"/>
        <item m="1" x="16"/>
        <item m="1" x="32"/>
        <item m="1" x="56"/>
        <item m="1" x="72"/>
        <item m="1" x="88"/>
        <item m="1" x="104"/>
        <item m="1" x="24"/>
        <item m="1" x="40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outline="0" subtotalTop="0" showAll="0" numFmtId="14"/>
    <pivotField compact="0" outline="0" subtotalTop="0" showAll="0" numFmtId="14"/>
    <pivotField axis="axisRow" compact="0" outline="0" subtotalTop="0" showAll="0">
      <items count="23">
        <item x="3"/>
        <item m="1" x="16"/>
        <item x="15"/>
        <item x="8"/>
        <item x="9"/>
        <item m="1" x="17"/>
        <item x="10"/>
        <item m="1" x="18"/>
        <item x="7"/>
        <item x="6"/>
        <item m="1" x="20"/>
        <item x="0"/>
        <item x="1"/>
        <item m="1" x="19"/>
        <item x="5"/>
        <item m="1" x="21"/>
        <item x="11"/>
        <item x="12"/>
        <item x="13"/>
        <item x="14"/>
        <item x="2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 numFmtId="164"/>
    <pivotField compact="0" outline="0" subtotalTop="0" showAll="0" numFmtId="164"/>
    <pivotField dataField="1" compact="0" outline="0" subtotalTop="0" showAll="0" numFmtId="164"/>
    <pivotField dataField="1" compact="0" outline="0" subtotalTop="0" showAll="0" numFmtId="164"/>
    <pivotField dataField="1" compact="0" outline="0" subtotalTop="0" showAll="0" numFmtId="164"/>
    <pivotField dataField="1" compact="0" outline="0" subtotalTop="0" showAll="0" numFmtId="164"/>
    <pivotField compact="0" outline="0" subtotalTop="0" showAll="0" numFmtId="164" defaultSubtotal="0"/>
    <pivotField compact="0" outline="0" subtotalTop="0" showAll="0" numFmtId="164" defaultSubtotal="0"/>
    <pivotField dataField="1" compact="0" outline="0" subtotalTop="0" showAll="0" numFmtId="164"/>
    <pivotField dataField="1" compact="0" outline="0" subtotalTop="0" showAll="0" numFmtId="164"/>
    <pivotField dataField="1" compact="0" outline="0" subtotalTop="0" showAll="0" numFmtId="164"/>
  </pivotFields>
  <rowFields count="2">
    <field x="3"/>
    <field x="-2"/>
  </rowFields>
  <rowItems count="119">
    <i>
      <x/>
      <x/>
    </i>
    <i i="1" r="1">
      <x v="1"/>
    </i>
    <i i="2" r="1">
      <x v="2"/>
    </i>
    <i i="3" r="1">
      <x v="3"/>
    </i>
    <i i="4" r="1">
      <x v="4"/>
    </i>
    <i i="5" r="1">
      <x v="5"/>
    </i>
    <i i="6" r="1">
      <x v="6"/>
    </i>
    <i>
      <x v="2"/>
      <x/>
    </i>
    <i i="1" r="1">
      <x v="1"/>
    </i>
    <i i="2" r="1">
      <x v="2"/>
    </i>
    <i i="3" r="1">
      <x v="3"/>
    </i>
    <i i="4" r="1">
      <x v="4"/>
    </i>
    <i i="5" r="1">
      <x v="5"/>
    </i>
    <i i="6" r="1">
      <x v="6"/>
    </i>
    <i>
      <x v="3"/>
      <x/>
    </i>
    <i i="1" r="1">
      <x v="1"/>
    </i>
    <i i="2" r="1">
      <x v="2"/>
    </i>
    <i i="3" r="1">
      <x v="3"/>
    </i>
    <i i="4" r="1">
      <x v="4"/>
    </i>
    <i i="5" r="1">
      <x v="5"/>
    </i>
    <i i="6" r="1">
      <x v="6"/>
    </i>
    <i>
      <x v="4"/>
      <x/>
    </i>
    <i i="1" r="1">
      <x v="1"/>
    </i>
    <i i="2" r="1">
      <x v="2"/>
    </i>
    <i i="3" r="1">
      <x v="3"/>
    </i>
    <i i="4" r="1">
      <x v="4"/>
    </i>
    <i i="5" r="1">
      <x v="5"/>
    </i>
    <i i="6" r="1">
      <x v="6"/>
    </i>
    <i>
      <x v="6"/>
      <x/>
    </i>
    <i i="1" r="1">
      <x v="1"/>
    </i>
    <i i="2" r="1">
      <x v="2"/>
    </i>
    <i i="3" r="1">
      <x v="3"/>
    </i>
    <i i="4" r="1">
      <x v="4"/>
    </i>
    <i i="5" r="1">
      <x v="5"/>
    </i>
    <i i="6" r="1">
      <x v="6"/>
    </i>
    <i>
      <x v="8"/>
      <x/>
    </i>
    <i i="1" r="1">
      <x v="1"/>
    </i>
    <i i="2" r="1">
      <x v="2"/>
    </i>
    <i i="3" r="1">
      <x v="3"/>
    </i>
    <i i="4" r="1">
      <x v="4"/>
    </i>
    <i i="5" r="1">
      <x v="5"/>
    </i>
    <i i="6" r="1">
      <x v="6"/>
    </i>
    <i>
      <x v="9"/>
      <x/>
    </i>
    <i i="1" r="1">
      <x v="1"/>
    </i>
    <i i="2" r="1">
      <x v="2"/>
    </i>
    <i i="3" r="1">
      <x v="3"/>
    </i>
    <i i="4" r="1">
      <x v="4"/>
    </i>
    <i i="5" r="1">
      <x v="5"/>
    </i>
    <i i="6" r="1">
      <x v="6"/>
    </i>
    <i>
      <x v="11"/>
      <x/>
    </i>
    <i i="1" r="1">
      <x v="1"/>
    </i>
    <i i="2" r="1">
      <x v="2"/>
    </i>
    <i i="3" r="1">
      <x v="3"/>
    </i>
    <i i="4" r="1">
      <x v="4"/>
    </i>
    <i i="5" r="1">
      <x v="5"/>
    </i>
    <i i="6" r="1">
      <x v="6"/>
    </i>
    <i>
      <x v="12"/>
      <x/>
    </i>
    <i i="1" r="1">
      <x v="1"/>
    </i>
    <i i="2" r="1">
      <x v="2"/>
    </i>
    <i i="3" r="1">
      <x v="3"/>
    </i>
    <i i="4" r="1">
      <x v="4"/>
    </i>
    <i i="5" r="1">
      <x v="5"/>
    </i>
    <i i="6" r="1">
      <x v="6"/>
    </i>
    <i>
      <x v="14"/>
      <x/>
    </i>
    <i i="1" r="1">
      <x v="1"/>
    </i>
    <i i="2" r="1">
      <x v="2"/>
    </i>
    <i i="3" r="1">
      <x v="3"/>
    </i>
    <i i="4" r="1">
      <x v="4"/>
    </i>
    <i i="5" r="1">
      <x v="5"/>
    </i>
    <i i="6" r="1">
      <x v="6"/>
    </i>
    <i>
      <x v="16"/>
      <x/>
    </i>
    <i i="1" r="1">
      <x v="1"/>
    </i>
    <i i="2" r="1">
      <x v="2"/>
    </i>
    <i i="3" r="1">
      <x v="3"/>
    </i>
    <i i="4" r="1">
      <x v="4"/>
    </i>
    <i i="5" r="1">
      <x v="5"/>
    </i>
    <i i="6" r="1">
      <x v="6"/>
    </i>
    <i>
      <x v="17"/>
      <x/>
    </i>
    <i i="1" r="1">
      <x v="1"/>
    </i>
    <i i="2" r="1">
      <x v="2"/>
    </i>
    <i i="3" r="1">
      <x v="3"/>
    </i>
    <i i="4" r="1">
      <x v="4"/>
    </i>
    <i i="5" r="1">
      <x v="5"/>
    </i>
    <i i="6" r="1">
      <x v="6"/>
    </i>
    <i>
      <x v="18"/>
      <x/>
    </i>
    <i i="1" r="1">
      <x v="1"/>
    </i>
    <i i="2" r="1">
      <x v="2"/>
    </i>
    <i i="3" r="1">
      <x v="3"/>
    </i>
    <i i="4" r="1">
      <x v="4"/>
    </i>
    <i i="5" r="1">
      <x v="5"/>
    </i>
    <i i="6" r="1">
      <x v="6"/>
    </i>
    <i>
      <x v="19"/>
      <x/>
    </i>
    <i i="1" r="1">
      <x v="1"/>
    </i>
    <i i="2" r="1">
      <x v="2"/>
    </i>
    <i i="3" r="1">
      <x v="3"/>
    </i>
    <i i="4" r="1">
      <x v="4"/>
    </i>
    <i i="5" r="1">
      <x v="5"/>
    </i>
    <i i="6" r="1">
      <x v="6"/>
    </i>
    <i>
      <x v="20"/>
      <x/>
    </i>
    <i i="1" r="1">
      <x v="1"/>
    </i>
    <i i="2" r="1">
      <x v="2"/>
    </i>
    <i i="3" r="1">
      <x v="3"/>
    </i>
    <i i="4" r="1">
      <x v="4"/>
    </i>
    <i i="5" r="1">
      <x v="5"/>
    </i>
    <i i="6" r="1">
      <x v="6"/>
    </i>
    <i>
      <x v="21"/>
      <x/>
    </i>
    <i i="1" r="1">
      <x v="1"/>
    </i>
    <i i="2" r="1">
      <x v="2"/>
    </i>
    <i i="3" r="1">
      <x v="3"/>
    </i>
    <i i="4" r="1">
      <x v="4"/>
    </i>
    <i i="5" r="1">
      <x v="5"/>
    </i>
    <i i="6" r="1">
      <x v="6"/>
    </i>
    <i t="grand">
      <x/>
    </i>
    <i t="grand" i="1">
      <x/>
    </i>
    <i t="grand" i="2">
      <x/>
    </i>
    <i t="grand" i="3">
      <x/>
    </i>
    <i t="grand" i="4">
      <x/>
    </i>
    <i t="grand" i="5">
      <x/>
    </i>
    <i t="grand" i="6">
      <x/>
    </i>
  </rowItems>
  <colFields count="1">
    <field x="0"/>
  </colFields>
  <colItems count="13"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 t="grand">
      <x/>
    </i>
  </colItems>
  <dataFields count="7">
    <dataField name="Sum of True-Up Charge" fld="8" baseField="0" baseItem="0"/>
    <dataField name="Sum of True-Up w/o Interest" fld="10" baseField="0" baseItem="0"/>
    <dataField name="Sum of Interest" fld="11" baseField="0" baseItem="0"/>
    <dataField name="Sum of Total True-up" fld="16" baseField="0" baseItem="0"/>
    <dataField name="Sum of Invoiced*** Charge (proj.)" fld="9" baseField="0" baseItem="0"/>
    <dataField name="Sum of Tax True Up Billing" fld="14" baseField="0" baseItem="0"/>
    <dataField name="Sum of Tax True Up" fld="15" baseField="0" baseItem="0"/>
  </dataFields>
  <formats count="21">
    <format dxfId="0">
      <pivotArea outline="0" fieldPosition="0">
        <references count="2">
          <reference field="4294967294" count="3">
            <x v="1"/>
            <x v="2"/>
            <x v="3"/>
          </reference>
          <reference field="3" count="1">
            <x v="0"/>
          </reference>
        </references>
      </pivotArea>
    </format>
    <format dxfId="1">
      <pivotArea outline="0" fieldPosition="0">
        <references count="2">
          <reference field="4294967294" count="3">
            <x v="1"/>
            <x v="2"/>
            <x v="3"/>
          </reference>
          <reference field="3" count="1">
            <x v="0"/>
          </reference>
        </references>
      </pivotArea>
    </format>
    <format dxfId="2">
      <pivotArea outline="0" fieldPosition="0">
        <references count="2">
          <reference field="4294967294" count="3">
            <x v="1"/>
            <x v="2"/>
            <x v="3"/>
          </reference>
          <reference field="3" count="1">
            <x v="1"/>
          </reference>
        </references>
      </pivotArea>
    </format>
    <format dxfId="2">
      <pivotArea outline="0" fieldPosition="0">
        <references count="2">
          <reference field="4294967294" count="3">
            <x v="1"/>
            <x v="2"/>
            <x v="3"/>
          </reference>
          <reference field="3" count="1">
            <x v="2"/>
          </reference>
        </references>
      </pivotArea>
    </format>
    <format dxfId="2">
      <pivotArea outline="0" fieldPosition="0">
        <references count="2">
          <reference field="4294967294" count="3">
            <x v="1"/>
            <x v="2"/>
            <x v="3"/>
          </reference>
          <reference field="3" count="1">
            <x v="3"/>
          </reference>
        </references>
      </pivotArea>
    </format>
    <format dxfId="2">
      <pivotArea outline="0" fieldPosition="0">
        <references count="2">
          <reference field="4294967294" count="3">
            <x v="1"/>
            <x v="2"/>
            <x v="3"/>
          </reference>
          <reference field="3" count="1">
            <x v="4"/>
          </reference>
        </references>
      </pivotArea>
    </format>
    <format dxfId="2">
      <pivotArea outline="0" fieldPosition="0">
        <references count="2">
          <reference field="4294967294" count="3">
            <x v="1"/>
            <x v="2"/>
            <x v="3"/>
          </reference>
          <reference field="3" count="1">
            <x v="5"/>
          </reference>
        </references>
      </pivotArea>
    </format>
    <format dxfId="2">
      <pivotArea outline="0" fieldPosition="0">
        <references count="2">
          <reference field="4294967294" count="3">
            <x v="1"/>
            <x v="2"/>
            <x v="3"/>
          </reference>
          <reference field="3" count="1">
            <x v="6"/>
          </reference>
        </references>
      </pivotArea>
    </format>
    <format dxfId="2">
      <pivotArea outline="0" fieldPosition="0">
        <references count="2">
          <reference field="4294967294" count="3">
            <x v="1"/>
            <x v="2"/>
            <x v="3"/>
          </reference>
          <reference field="3" count="1">
            <x v="7"/>
          </reference>
        </references>
      </pivotArea>
    </format>
    <format dxfId="2">
      <pivotArea outline="0" fieldPosition="0">
        <references count="2">
          <reference field="4294967294" count="3">
            <x v="1"/>
            <x v="2"/>
            <x v="3"/>
          </reference>
          <reference field="3" count="1">
            <x v="8"/>
          </reference>
        </references>
      </pivotArea>
    </format>
    <format dxfId="2">
      <pivotArea outline="0" fieldPosition="0">
        <references count="2">
          <reference field="4294967294" count="3">
            <x v="1"/>
            <x v="2"/>
            <x v="3"/>
          </reference>
          <reference field="3" count="1">
            <x v="9"/>
          </reference>
        </references>
      </pivotArea>
    </format>
    <format dxfId="2">
      <pivotArea outline="0" fieldPosition="0">
        <references count="2">
          <reference field="4294967294" count="3">
            <x v="1"/>
            <x v="2"/>
            <x v="3"/>
          </reference>
          <reference field="3" count="1">
            <x v="10"/>
          </reference>
        </references>
      </pivotArea>
    </format>
    <format dxfId="2">
      <pivotArea outline="0" fieldPosition="0">
        <references count="2">
          <reference field="4294967294" count="3">
            <x v="1"/>
            <x v="2"/>
            <x v="3"/>
          </reference>
          <reference field="3" count="1">
            <x v="11"/>
          </reference>
        </references>
      </pivotArea>
    </format>
    <format dxfId="2">
      <pivotArea outline="0" fieldPosition="0">
        <references count="2">
          <reference field="4294967294" count="3">
            <x v="1"/>
            <x v="2"/>
            <x v="3"/>
          </reference>
          <reference field="3" count="1">
            <x v="12"/>
          </reference>
        </references>
      </pivotArea>
    </format>
    <format dxfId="2">
      <pivotArea outline="0" fieldPosition="0">
        <references count="2">
          <reference field="4294967294" count="3">
            <x v="1"/>
            <x v="2"/>
            <x v="3"/>
          </reference>
          <reference field="3" count="1">
            <x v="13"/>
          </reference>
        </references>
      </pivotArea>
    </format>
    <format dxfId="2">
      <pivotArea outline="0" fieldPosition="0">
        <references count="2">
          <reference field="4294967294" count="3">
            <x v="1"/>
            <x v="2"/>
            <x v="3"/>
          </reference>
          <reference field="3" count="1">
            <x v="14"/>
          </reference>
        </references>
      </pivotArea>
    </format>
    <format dxfId="2">
      <pivotArea outline="0" fieldPosition="0" axis="axisRow" field="3" grandRow="1">
        <references count="1">
          <reference field="4294967294" count="3">
            <x v="1"/>
            <x v="2"/>
            <x v="3"/>
          </reference>
        </references>
      </pivotArea>
    </format>
    <format dxfId="3">
      <pivotArea outline="0" fieldPosition="0">
        <references count="3">
          <reference field="4294967294" count="1">
            <x v="2"/>
          </reference>
          <reference field="0" count="1">
            <x v="60"/>
          </reference>
          <reference field="3" count="1">
            <x v="20"/>
          </reference>
        </references>
      </pivotArea>
    </format>
    <format dxfId="3">
      <pivotArea outline="0" fieldPosition="0">
        <references count="3">
          <reference field="4294967294" count="1">
            <x v="3"/>
          </reference>
          <reference field="0" count="1">
            <x v="60"/>
          </reference>
          <reference field="3" count="1">
            <x v="20"/>
          </reference>
        </references>
      </pivotArea>
    </format>
    <format dxfId="4">
      <pivotArea outline="0" fieldPosition="0" grandCol="1" grandRow="1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5">
      <pivotArea outline="0" fieldPosition="0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7"/>
  <sheetViews>
    <sheetView zoomScalePageLayoutView="0" workbookViewId="0" topLeftCell="A1">
      <selection activeCell="B14" sqref="B14"/>
    </sheetView>
  </sheetViews>
  <sheetFormatPr defaultColWidth="9.140625" defaultRowHeight="12.75"/>
  <sheetData>
    <row r="1" ht="12.75">
      <c r="A1" t="s">
        <v>65</v>
      </c>
    </row>
    <row r="3" spans="1:2" ht="12.75">
      <c r="A3" s="23">
        <v>1</v>
      </c>
      <c r="B3" s="15" t="s">
        <v>67</v>
      </c>
    </row>
    <row r="4" spans="1:2" ht="12.75">
      <c r="A4" s="23">
        <v>2</v>
      </c>
      <c r="B4" s="15" t="s">
        <v>66</v>
      </c>
    </row>
    <row r="5" spans="1:2" ht="12.75">
      <c r="A5" s="23">
        <v>3</v>
      </c>
      <c r="B5" s="15" t="s">
        <v>68</v>
      </c>
    </row>
    <row r="6" spans="1:2" ht="12.75">
      <c r="A6" s="23">
        <v>4</v>
      </c>
      <c r="B6" s="177" t="s">
        <v>82</v>
      </c>
    </row>
    <row r="7" spans="1:2" ht="12.75">
      <c r="A7" s="23">
        <v>5</v>
      </c>
      <c r="B7" s="15" t="s">
        <v>69</v>
      </c>
    </row>
    <row r="8" spans="1:2" ht="12.75">
      <c r="A8" s="23">
        <v>6</v>
      </c>
      <c r="B8" s="15" t="s">
        <v>70</v>
      </c>
    </row>
    <row r="9" spans="1:2" ht="12.75">
      <c r="A9" s="23">
        <v>7</v>
      </c>
      <c r="B9" s="2" t="s">
        <v>71</v>
      </c>
    </row>
    <row r="10" spans="1:2" ht="12.75">
      <c r="A10" s="23">
        <v>8</v>
      </c>
      <c r="B10" s="15" t="s">
        <v>74</v>
      </c>
    </row>
    <row r="11" spans="1:2" ht="12.75">
      <c r="A11" s="23"/>
      <c r="B11" s="15" t="s">
        <v>75</v>
      </c>
    </row>
    <row r="12" spans="1:2" ht="12.75">
      <c r="A12" s="23"/>
      <c r="B12" s="2" t="s">
        <v>76</v>
      </c>
    </row>
    <row r="13" spans="1:2" ht="12.75">
      <c r="A13" s="23"/>
      <c r="B13" s="2" t="s">
        <v>77</v>
      </c>
    </row>
    <row r="14" spans="1:2" ht="12.75">
      <c r="A14" s="23">
        <v>9</v>
      </c>
      <c r="B14" s="15" t="s">
        <v>78</v>
      </c>
    </row>
    <row r="15" spans="1:2" ht="12.75">
      <c r="A15" s="23">
        <v>10</v>
      </c>
      <c r="B15" s="15" t="s">
        <v>80</v>
      </c>
    </row>
    <row r="16" spans="1:2" ht="12.75">
      <c r="A16" s="23">
        <v>11</v>
      </c>
      <c r="B16" s="15" t="s">
        <v>81</v>
      </c>
    </row>
    <row r="17" ht="12.75">
      <c r="A17" s="23"/>
    </row>
  </sheetData>
  <sheetProtection/>
  <printOptions/>
  <pageMargins left="0.5" right="0.5" top="1" bottom="1" header="0.5" footer="0.5"/>
  <pageSetup fitToHeight="1" fitToWidth="1" horizontalDpi="600" verticalDpi="600" orientation="landscape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43"/>
  <sheetViews>
    <sheetView tabSelected="1" zoomScale="85" zoomScaleNormal="85" zoomScaleSheetLayoutView="100" zoomScalePageLayoutView="0" workbookViewId="0" topLeftCell="A1">
      <selection activeCell="A1" sqref="A1"/>
    </sheetView>
  </sheetViews>
  <sheetFormatPr defaultColWidth="33.28125" defaultRowHeight="12.75"/>
  <cols>
    <col min="1" max="1" width="9.140625" style="0" customWidth="1"/>
    <col min="2" max="2" width="14.00390625" style="0" customWidth="1"/>
    <col min="3" max="3" width="21.8515625" style="0" customWidth="1"/>
    <col min="4" max="4" width="15.57421875" style="0" customWidth="1"/>
    <col min="5" max="16" width="14.00390625" style="0" customWidth="1"/>
    <col min="17" max="17" width="15.00390625" style="0" customWidth="1"/>
    <col min="18" max="110" width="31.7109375" style="0" customWidth="1"/>
    <col min="111" max="111" width="11.421875" style="0" customWidth="1"/>
  </cols>
  <sheetData>
    <row r="1" spans="3:12" ht="12.75">
      <c r="C1" s="238" t="str">
        <f>+Transactions!B1</f>
        <v>AEPTCo Formula Rate -- FERC Docket ER18-194</v>
      </c>
      <c r="D1" s="238"/>
      <c r="E1" s="238"/>
      <c r="F1" s="238"/>
      <c r="G1" s="238"/>
      <c r="H1" s="238"/>
      <c r="I1" s="238"/>
      <c r="L1" s="179">
        <v>2019</v>
      </c>
    </row>
    <row r="2" spans="3:9" ht="12.75">
      <c r="C2" s="238" t="s">
        <v>36</v>
      </c>
      <c r="D2" s="238"/>
      <c r="E2" s="238"/>
      <c r="F2" s="238"/>
      <c r="G2" s="238"/>
      <c r="H2" s="238"/>
      <c r="I2" s="238"/>
    </row>
    <row r="3" spans="3:9" ht="12.75">
      <c r="C3" s="238" t="str">
        <f>"for period 01/01/"&amp;F8&amp;" - 12/31/"&amp;F8</f>
        <v>for period 01/01/2018 - 12/31/2018</v>
      </c>
      <c r="D3" s="238"/>
      <c r="E3" s="238"/>
      <c r="F3" s="238"/>
      <c r="G3" s="238"/>
      <c r="H3" s="238"/>
      <c r="I3" s="238"/>
    </row>
    <row r="4" spans="3:9" ht="12.75">
      <c r="C4" s="238" t="s">
        <v>97</v>
      </c>
      <c r="D4" s="238"/>
      <c r="E4" s="238"/>
      <c r="F4" s="238"/>
      <c r="G4" s="238"/>
      <c r="H4" s="238"/>
      <c r="I4" s="238"/>
    </row>
    <row r="5" spans="3:4" ht="12.75">
      <c r="C5" s="178" t="str">
        <f>"Prepared:  May 22_, "&amp;L1&amp;""</f>
        <v>Prepared:  May 22_, 2019</v>
      </c>
      <c r="D5" s="176"/>
    </row>
    <row r="6" ht="12.75">
      <c r="C6" s="57"/>
    </row>
    <row r="7" ht="12.75">
      <c r="C7" s="5"/>
    </row>
    <row r="8" ht="27.75" customHeight="1" thickBot="1">
      <c r="F8" s="113">
        <f>Transactions!R1</f>
        <v>2018</v>
      </c>
    </row>
    <row r="9" spans="5:12" ht="20.25" customHeight="1">
      <c r="E9" s="124" t="s">
        <v>96</v>
      </c>
      <c r="F9" s="103"/>
      <c r="G9" s="112"/>
      <c r="H9" s="232"/>
      <c r="L9" s="23"/>
    </row>
    <row r="10" spans="2:8" ht="42" customHeight="1" thickBot="1">
      <c r="B10" s="89"/>
      <c r="E10" s="143" t="str">
        <f>"(per "&amp;$F8&amp;" Projections "&amp;$F8&amp;")"</f>
        <v>(per 2018 Projections 2018)</v>
      </c>
      <c r="F10" s="175" t="str">
        <f>"(per "&amp;F8+1&amp;" Update of May "&amp;F8+1&amp;")"</f>
        <v>(per 2019 Update of May 2019)</v>
      </c>
      <c r="G10" s="144"/>
      <c r="H10" s="233"/>
    </row>
    <row r="11" spans="2:8" ht="21.75" customHeight="1">
      <c r="B11" s="91"/>
      <c r="C11" s="109" t="s">
        <v>39</v>
      </c>
      <c r="D11" s="108" t="s">
        <v>37</v>
      </c>
      <c r="E11" s="160">
        <f>Transactions!K2</f>
        <v>66148.18540174306</v>
      </c>
      <c r="F11" s="97"/>
      <c r="G11" s="161"/>
      <c r="H11" s="234"/>
    </row>
    <row r="12" spans="2:11" ht="21.75" customHeight="1">
      <c r="B12" s="91"/>
      <c r="C12" s="98"/>
      <c r="D12" s="115" t="s">
        <v>43</v>
      </c>
      <c r="E12" s="104"/>
      <c r="F12" s="96">
        <f>+Transactions!J2</f>
        <v>103282.01036699112</v>
      </c>
      <c r="G12" s="105"/>
      <c r="H12" s="163"/>
      <c r="K12" s="188"/>
    </row>
    <row r="13" spans="2:11" ht="21.75" customHeight="1">
      <c r="B13" s="90"/>
      <c r="C13" s="110" t="s">
        <v>40</v>
      </c>
      <c r="D13" s="107" t="s">
        <v>38</v>
      </c>
      <c r="E13" s="162">
        <f>Transactions!K3</f>
        <v>0.67</v>
      </c>
      <c r="F13" s="163"/>
      <c r="G13" s="164"/>
      <c r="H13" s="235"/>
      <c r="K13" s="187"/>
    </row>
    <row r="14" spans="2:11" ht="21.75" customHeight="1" thickBot="1">
      <c r="B14" s="89"/>
      <c r="C14" s="99"/>
      <c r="D14" s="114" t="s">
        <v>42</v>
      </c>
      <c r="E14" s="100"/>
      <c r="F14" s="141">
        <f>+Transactions!J3</f>
        <v>1.01</v>
      </c>
      <c r="G14" s="101"/>
      <c r="H14" s="163"/>
      <c r="K14" s="188"/>
    </row>
    <row r="15" spans="2:11" ht="12.75">
      <c r="B15" s="91"/>
      <c r="E15" s="69"/>
      <c r="K15" s="187"/>
    </row>
    <row r="16" spans="2:19" ht="12.75">
      <c r="B16" s="90"/>
      <c r="C16" s="90"/>
      <c r="D16" s="106"/>
      <c r="E16" s="90"/>
      <c r="F16" s="92"/>
      <c r="G16" s="93"/>
      <c r="H16" s="93"/>
      <c r="K16" s="151"/>
      <c r="L16" s="69"/>
      <c r="N16" s="8"/>
      <c r="O16" s="81"/>
      <c r="P16" s="81"/>
      <c r="Q16" s="81"/>
      <c r="R16" s="81"/>
      <c r="S16" s="81"/>
    </row>
    <row r="17" spans="3:19" ht="12.75">
      <c r="C17" s="5"/>
      <c r="K17" s="187"/>
      <c r="N17" s="20"/>
      <c r="O17" s="81"/>
      <c r="P17" s="81"/>
      <c r="Q17" s="81"/>
      <c r="R17" s="81"/>
      <c r="S17" s="81"/>
    </row>
    <row r="18" spans="3:19" ht="12.75">
      <c r="C18" s="8"/>
      <c r="D18" s="8"/>
      <c r="E18" s="8"/>
      <c r="F18" s="8"/>
      <c r="G18" s="8"/>
      <c r="H18" s="8"/>
      <c r="I18" s="8"/>
      <c r="N18" s="8"/>
      <c r="O18" s="81"/>
      <c r="P18" s="81"/>
      <c r="Q18" s="81"/>
      <c r="R18" s="81"/>
      <c r="S18" s="81"/>
    </row>
    <row r="19" spans="3:19" ht="21" customHeight="1" thickBot="1">
      <c r="C19" s="94" t="s">
        <v>31</v>
      </c>
      <c r="D19" s="94" t="s">
        <v>32</v>
      </c>
      <c r="E19" s="95" t="s">
        <v>33</v>
      </c>
      <c r="F19" s="95" t="s">
        <v>34</v>
      </c>
      <c r="G19" s="94" t="s">
        <v>35</v>
      </c>
      <c r="H19" s="94" t="s">
        <v>95</v>
      </c>
      <c r="I19" s="95" t="s">
        <v>94</v>
      </c>
      <c r="K19" s="188"/>
      <c r="N19" s="8"/>
      <c r="O19" s="81"/>
      <c r="P19" s="81"/>
      <c r="Q19" s="81"/>
      <c r="R19" s="81"/>
      <c r="S19" s="81"/>
    </row>
    <row r="20" spans="3:19" ht="53.25" customHeight="1">
      <c r="C20" s="131" t="s">
        <v>52</v>
      </c>
      <c r="D20" s="86" t="str">
        <f>"Actual Charge
("&amp;F8&amp;" True-Up)"</f>
        <v>Actual Charge
(2018 True-Up)</v>
      </c>
      <c r="E20" s="87" t="str">
        <f>"Invoiced for
CY"&amp;F8&amp;" Transmission Service"</f>
        <v>Invoiced for
CY2018 Transmission Service</v>
      </c>
      <c r="F20" s="86" t="s">
        <v>41</v>
      </c>
      <c r="G20" s="88" t="s">
        <v>7</v>
      </c>
      <c r="H20" s="88" t="s">
        <v>88</v>
      </c>
      <c r="I20" s="111" t="s">
        <v>46</v>
      </c>
      <c r="K20" s="188"/>
      <c r="N20" s="8"/>
      <c r="O20" s="81"/>
      <c r="P20" s="81"/>
      <c r="Q20" s="81"/>
      <c r="R20" s="81"/>
      <c r="S20" s="81"/>
    </row>
    <row r="21" spans="2:19" ht="12.75">
      <c r="B21" s="123"/>
      <c r="C21" s="82" t="s">
        <v>14</v>
      </c>
      <c r="D21" s="83">
        <f>GETPIVOTDATA("Sum of "&amp;T(Transactions!$J$19),Pivot!$A$3,"Customer",C21)</f>
        <v>9096.06</v>
      </c>
      <c r="E21" s="83">
        <f>GETPIVOTDATA("Sum of "&amp;T(Transactions!$K$19),Pivot!$A$3,"Customer",C21)</f>
        <v>6034.0199999999995</v>
      </c>
      <c r="F21" s="83">
        <f>D21-E21</f>
        <v>3062.04</v>
      </c>
      <c r="G21" s="81">
        <f>+GETPIVOTDATA("Sum of "&amp;T(Transactions!$M$19),Pivot!$A$3,"Customer","AECC")</f>
        <v>-149.92710685548553</v>
      </c>
      <c r="H21" s="81">
        <f>GETPIVOTDATA("Sum of "&amp;T(Transactions!$Q$19),Pivot!$A$3,"Customer","AECC")</f>
        <v>180.11999999999887</v>
      </c>
      <c r="I21" s="84">
        <f>F21+G21-H21</f>
        <v>2731.9928931445156</v>
      </c>
      <c r="K21" s="183"/>
      <c r="L21" s="123"/>
      <c r="N21" s="8"/>
      <c r="O21" s="81"/>
      <c r="P21" s="81"/>
      <c r="Q21" s="81"/>
      <c r="R21" s="81"/>
      <c r="S21" s="81"/>
    </row>
    <row r="22" spans="2:19" ht="12.75">
      <c r="B22" s="123"/>
      <c r="C22" s="102" t="s">
        <v>85</v>
      </c>
      <c r="D22" s="83">
        <f>GETPIVOTDATA("Sum of "&amp;T(Transactions!$J$19),Pivot!$A$3,"Customer",C22)</f>
        <v>489.85</v>
      </c>
      <c r="E22" s="83">
        <f>GETPIVOTDATA("Sum of "&amp;T(Transactions!$K$19),Pivot!$A$3,"Customer",C22)</f>
        <v>324.95000000000005</v>
      </c>
      <c r="F22" s="83">
        <f>D22-E22</f>
        <v>164.89999999999998</v>
      </c>
      <c r="G22" s="81">
        <f>+GETPIVOTDATA("Sum of "&amp;T(Transactions!$M$19),Pivot!$A$3,"Customer","AECI")</f>
        <v>-8.074022521087109</v>
      </c>
      <c r="H22" s="81">
        <f>GETPIVOTDATA("Sum of "&amp;T(Transactions!$Q$19),Pivot!$A$3,"Customer",C22)</f>
        <v>9.699999999999958</v>
      </c>
      <c r="I22" s="84">
        <f aca="true" t="shared" si="0" ref="I22:I33">F22+G22-H22</f>
        <v>147.12597747891292</v>
      </c>
      <c r="K22" s="183"/>
      <c r="L22" s="123"/>
      <c r="N22" s="8"/>
      <c r="O22" s="81"/>
      <c r="P22" s="81"/>
      <c r="Q22" s="81"/>
      <c r="R22" s="81"/>
      <c r="S22" s="81"/>
    </row>
    <row r="23" spans="2:19" ht="12.75">
      <c r="B23" s="123"/>
      <c r="C23" s="102" t="s">
        <v>56</v>
      </c>
      <c r="D23" s="83">
        <f>GETPIVOTDATA("Sum of "&amp;T(Transactions!$J$19),Pivot!$A$3,"Customer",C23)</f>
        <v>1502.88</v>
      </c>
      <c r="E23" s="83">
        <f>GETPIVOTDATA("Sum of "&amp;T(Transactions!$K$19),Pivot!$A$3,"Customer",C23)</f>
        <v>996.96</v>
      </c>
      <c r="F23" s="83">
        <f aca="true" t="shared" si="1" ref="F23:F35">D23-E23</f>
        <v>505.9200000000001</v>
      </c>
      <c r="G23" s="81">
        <f>+GETPIVOTDATA("Sum of "&amp;T(Transactions!$M$19),Pivot!$A$3,"Customer","Bentonville, AR")</f>
        <v>-24.77143404407756</v>
      </c>
      <c r="H23" s="81">
        <f>GETPIVOTDATA("Sum of "&amp;T(Transactions!$Q$19),Pivot!$A$3,"Customer",C23)</f>
        <v>29.759999999999863</v>
      </c>
      <c r="I23" s="84">
        <f t="shared" si="0"/>
        <v>451.3885659559226</v>
      </c>
      <c r="K23" s="183"/>
      <c r="L23" s="123"/>
      <c r="N23" s="8"/>
      <c r="O23" s="81"/>
      <c r="P23" s="81"/>
      <c r="Q23" s="81"/>
      <c r="R23" s="81"/>
      <c r="S23" s="81"/>
    </row>
    <row r="24" spans="2:19" ht="12.75">
      <c r="B24" s="123"/>
      <c r="C24" s="82" t="s">
        <v>17</v>
      </c>
      <c r="D24" s="83">
        <f>GETPIVOTDATA("Sum of "&amp;T(Transactions!$J$19),Pivot!$A$3,"Customer",C24)</f>
        <v>1206.95</v>
      </c>
      <c r="E24" s="83">
        <f>GETPIVOTDATA("Sum of "&amp;T(Transactions!$K$19),Pivot!$A$3,"Customer",C24)</f>
        <v>800.6500000000001</v>
      </c>
      <c r="F24" s="83">
        <f t="shared" si="1"/>
        <v>406.29999999999995</v>
      </c>
      <c r="G24" s="81">
        <f>+GETPIVOTDATA("Sum of "&amp;T(Transactions!$M$19),Pivot!$A$3,"Customer","Coffeyville, KS")</f>
        <v>-19.89372559319401</v>
      </c>
      <c r="H24" s="81">
        <f>GETPIVOTDATA("Sum of "&amp;T(Transactions!$Q$19),Pivot!$A$3,"Customer",C24)</f>
        <v>23.899999999999878</v>
      </c>
      <c r="I24" s="84">
        <f t="shared" si="0"/>
        <v>362.5062744068061</v>
      </c>
      <c r="K24" s="184"/>
      <c r="L24" s="123"/>
      <c r="N24" s="8"/>
      <c r="O24" s="81"/>
      <c r="P24" s="81"/>
      <c r="Q24" s="81"/>
      <c r="R24" s="81"/>
      <c r="S24" s="81"/>
    </row>
    <row r="25" spans="2:19" ht="12.75">
      <c r="B25" s="123"/>
      <c r="C25" s="102" t="s">
        <v>13</v>
      </c>
      <c r="D25" s="83">
        <f>GETPIVOTDATA("Sum of "&amp;T(Transactions!$J$19),Pivot!$A$3,"Customer",C25)</f>
        <v>10119.189999999999</v>
      </c>
      <c r="E25" s="83">
        <f>GETPIVOTDATA("Sum of "&amp;T(Transactions!$K$19),Pivot!$A$3,"Customer",C25)</f>
        <v>6712.7300000000005</v>
      </c>
      <c r="F25" s="83">
        <f t="shared" si="1"/>
        <v>3406.459999999998</v>
      </c>
      <c r="G25" s="81">
        <f>+GETPIVOTDATA("Sum of "&amp;T(Transactions!$M$19),Pivot!$A$3,"Customer","ETEC")</f>
        <v>-166.79099306963244</v>
      </c>
      <c r="H25" s="81">
        <f>GETPIVOTDATA("Sum of "&amp;T(Transactions!$Q$19),Pivot!$A$3,"Customer",C25)</f>
        <v>200.37999999999892</v>
      </c>
      <c r="I25" s="84">
        <f t="shared" si="0"/>
        <v>3039.289006930367</v>
      </c>
      <c r="K25" s="184"/>
      <c r="L25" s="123"/>
      <c r="N25" s="20"/>
      <c r="O25" s="81"/>
      <c r="P25" s="81"/>
      <c r="Q25" s="81"/>
      <c r="R25" s="81"/>
      <c r="S25" s="81"/>
    </row>
    <row r="26" spans="2:19" ht="12.75">
      <c r="B26" s="123"/>
      <c r="C26" s="82" t="s">
        <v>15</v>
      </c>
      <c r="D26" s="83">
        <f>GETPIVOTDATA("Sum of "&amp;T(Transactions!$J$19),Pivot!$A$3,"Customer",C26)</f>
        <v>117.15999999999997</v>
      </c>
      <c r="E26" s="83">
        <f>GETPIVOTDATA("Sum of "&amp;T(Transactions!$K$19),Pivot!$A$3,"Customer",C26)</f>
        <v>77.72</v>
      </c>
      <c r="F26" s="83">
        <f t="shared" si="1"/>
        <v>39.43999999999997</v>
      </c>
      <c r="G26" s="81">
        <f>+GETPIVOTDATA("Sum of "&amp;T(Transactions!$M$19),Pivot!$A$3,"Customer","Greenbelt")</f>
        <v>-1.9311064174146484</v>
      </c>
      <c r="H26" s="81">
        <f>GETPIVOTDATA("Sum of "&amp;T(Transactions!$Q$19),Pivot!$A$3,"Customer",C26)</f>
        <v>2.3199999999999914</v>
      </c>
      <c r="I26" s="84">
        <f t="shared" si="0"/>
        <v>35.18889358258533</v>
      </c>
      <c r="K26" s="185"/>
      <c r="L26" s="123"/>
      <c r="M26" s="122"/>
      <c r="N26" s="122"/>
      <c r="O26" s="122"/>
      <c r="P26" s="122"/>
      <c r="Q26" s="81"/>
      <c r="R26" s="81"/>
      <c r="S26" s="81"/>
    </row>
    <row r="27" spans="2:19" ht="12.75">
      <c r="B27" s="123"/>
      <c r="C27" s="82" t="s">
        <v>59</v>
      </c>
      <c r="D27" s="83">
        <f>GETPIVOTDATA("Sum of "&amp;T(Transactions!$J$19),Pivot!$A$3,"Customer",C27)</f>
        <v>586.81</v>
      </c>
      <c r="E27" s="83">
        <f>GETPIVOTDATA("Sum of "&amp;T(Transactions!$K$19),Pivot!$A$3,"Customer",C27)</f>
        <v>389.2700000000001</v>
      </c>
      <c r="F27" s="83">
        <f t="shared" si="1"/>
        <v>197.53999999999985</v>
      </c>
      <c r="G27" s="81">
        <f>+GETPIVOTDATA("Sum of "&amp;T(Transactions!$M$19),Pivot!$A$3,"Customer","Hope, AR")</f>
        <v>-9.672179556188887</v>
      </c>
      <c r="H27" s="81">
        <f>GETPIVOTDATA("Sum of "&amp;T(Transactions!$Q$19),Pivot!$A$3,"Customer",C27)</f>
        <v>11.619999999999944</v>
      </c>
      <c r="I27" s="84">
        <f t="shared" si="0"/>
        <v>176.247820443811</v>
      </c>
      <c r="K27" s="185"/>
      <c r="L27" s="123"/>
      <c r="M27" s="122"/>
      <c r="N27" s="122"/>
      <c r="O27" s="122"/>
      <c r="P27" s="122"/>
      <c r="Q27" s="81"/>
      <c r="R27" s="81"/>
      <c r="S27" s="81"/>
    </row>
    <row r="28" spans="2:19" ht="12.75">
      <c r="B28" s="123"/>
      <c r="C28" s="82" t="s">
        <v>16</v>
      </c>
      <c r="D28" s="83">
        <f>GETPIVOTDATA("Sum of "&amp;T(Transactions!$J$19),Pivot!$A$3,"Customer",C28)</f>
        <v>32.32</v>
      </c>
      <c r="E28" s="83">
        <f>GETPIVOTDATA("Sum of "&amp;T(Transactions!$K$19),Pivot!$A$3,"Customer",C28)</f>
        <v>21.44</v>
      </c>
      <c r="F28" s="83">
        <f t="shared" si="1"/>
        <v>10.879999999999999</v>
      </c>
      <c r="G28" s="81">
        <f>+GETPIVOTDATA("Sum of "&amp;T(Transactions!$M$19),Pivot!$A$3,"Customer","Lighthouse")</f>
        <v>-0.5327190117005927</v>
      </c>
      <c r="H28" s="81">
        <f>GETPIVOTDATA("Sum of "&amp;T(Transactions!$Q$19),Pivot!$A$3,"Customer",C28)</f>
        <v>0.6399999999999966</v>
      </c>
      <c r="I28" s="84">
        <f t="shared" si="0"/>
        <v>9.70728098829941</v>
      </c>
      <c r="K28" s="184"/>
      <c r="L28" s="123"/>
      <c r="N28" s="8"/>
      <c r="O28" s="81"/>
      <c r="P28" s="81"/>
      <c r="Q28" s="81"/>
      <c r="R28" s="81"/>
      <c r="S28" s="81"/>
    </row>
    <row r="29" spans="2:19" ht="12.75">
      <c r="B29" s="123"/>
      <c r="C29" s="102" t="s">
        <v>58</v>
      </c>
      <c r="D29" s="83">
        <f>GETPIVOTDATA("Sum of "&amp;T(Transactions!$J$19),Pivot!$A$3,"Customer",C29)</f>
        <v>339.35999999999996</v>
      </c>
      <c r="E29" s="83">
        <f>GETPIVOTDATA("Sum of "&amp;T(Transactions!$K$19),Pivot!$A$3,"Customer",C29)</f>
        <v>225.12</v>
      </c>
      <c r="F29" s="83">
        <f t="shared" si="1"/>
        <v>114.23999999999995</v>
      </c>
      <c r="G29" s="81">
        <f>+GETPIVOTDATA("Sum of "&amp;T(Transactions!$M$19),Pivot!$A$3,"Customer","Minden, LA")</f>
        <v>-5.593549622856223</v>
      </c>
      <c r="H29" s="81">
        <f>GETPIVOTDATA("Sum of "&amp;T(Transactions!$Q$19),Pivot!$A$3,"Customer",C29)</f>
        <v>6.719999999999969</v>
      </c>
      <c r="I29" s="84">
        <f t="shared" si="0"/>
        <v>101.92645037714377</v>
      </c>
      <c r="K29" s="184"/>
      <c r="L29" s="123"/>
      <c r="N29" s="8"/>
      <c r="O29" s="81"/>
      <c r="P29" s="81"/>
      <c r="Q29" s="81"/>
      <c r="R29" s="81"/>
      <c r="S29" s="81"/>
    </row>
    <row r="30" spans="2:12" ht="12.75">
      <c r="B30" s="123"/>
      <c r="C30" s="102" t="s">
        <v>19</v>
      </c>
      <c r="D30" s="83">
        <f>GETPIVOTDATA("Sum of "&amp;T(Transactions!$J$19),Pivot!$A$3,"Customer",C30)</f>
        <v>221.19</v>
      </c>
      <c r="E30" s="83">
        <f>GETPIVOTDATA("Sum of "&amp;T(Transactions!$K$19),Pivot!$A$3,"Customer",C30)</f>
        <v>146.73000000000002</v>
      </c>
      <c r="F30" s="83">
        <f t="shared" si="1"/>
        <v>74.45999999999998</v>
      </c>
      <c r="G30" s="81">
        <f>+GETPIVOTDATA("Sum of "&amp;T(Transactions!$M$19),Pivot!$A$3,"Customer","OG&amp;E")</f>
        <v>-3.645795736325931</v>
      </c>
      <c r="H30" s="81">
        <f>GETPIVOTDATA("Sum of "&amp;T(Transactions!$Q$19),Pivot!$A$3,"Customer",C30)</f>
        <v>4.379999999999985</v>
      </c>
      <c r="I30" s="84">
        <f t="shared" si="0"/>
        <v>66.43420426367406</v>
      </c>
      <c r="K30" s="184"/>
      <c r="L30" s="123"/>
    </row>
    <row r="31" spans="2:12" ht="12.75">
      <c r="B31" s="123"/>
      <c r="C31" s="82" t="s">
        <v>8</v>
      </c>
      <c r="D31" s="83">
        <f>GETPIVOTDATA("Sum of "&amp;T(Transactions!$J$19),Pivot!$A$3,"Customer",C31)</f>
        <v>1325.1200000000001</v>
      </c>
      <c r="E31" s="83">
        <f>GETPIVOTDATA("Sum of "&amp;T(Transactions!$K$19),Pivot!$A$3,"Customer",C31)</f>
        <v>879.0400000000002</v>
      </c>
      <c r="F31" s="83">
        <f t="shared" si="1"/>
        <v>446.0799999999999</v>
      </c>
      <c r="G31" s="81">
        <f>+GETPIVOTDATA("Sum of "&amp;T(Transactions!$M$19),Pivot!$A$3,"Customer","OMPA")</f>
        <v>-21.8414794797243</v>
      </c>
      <c r="H31" s="81">
        <f>GETPIVOTDATA("Sum of "&amp;T(Transactions!$Q$19),Pivot!$A$3,"Customer",C31)</f>
        <v>26.23999999999986</v>
      </c>
      <c r="I31" s="84">
        <f t="shared" si="0"/>
        <v>397.9985205202758</v>
      </c>
      <c r="K31" s="184"/>
      <c r="L31" s="123"/>
    </row>
    <row r="32" spans="2:12" ht="12.75">
      <c r="B32" s="123"/>
      <c r="C32" s="82" t="s">
        <v>57</v>
      </c>
      <c r="D32" s="83">
        <f>GETPIVOTDATA("Sum of "&amp;T(Transactions!$J$19),Pivot!$A$3,"Customer",C32)</f>
        <v>132.31</v>
      </c>
      <c r="E32" s="83">
        <f>GETPIVOTDATA("Sum of "&amp;T(Transactions!$K$19),Pivot!$A$3,"Customer",C32)</f>
        <v>87.77000000000001</v>
      </c>
      <c r="F32" s="83">
        <f t="shared" si="1"/>
        <v>44.53999999999999</v>
      </c>
      <c r="G32" s="81">
        <f>+GETPIVOTDATA("Sum of "&amp;T(Transactions!$M$19),Pivot!$A$3,"Customer","Prescott, AR")</f>
        <v>-2.180818454149301</v>
      </c>
      <c r="H32" s="81">
        <f>GETPIVOTDATA("Sum of "&amp;T(Transactions!$Q$19),Pivot!$A$3,"Customer",C32)</f>
        <v>2.6199999999999877</v>
      </c>
      <c r="I32" s="84">
        <f t="shared" si="0"/>
        <v>39.7391815458507</v>
      </c>
      <c r="K32" s="184"/>
      <c r="L32" s="123"/>
    </row>
    <row r="33" spans="2:12" ht="12.75">
      <c r="B33" s="123"/>
      <c r="C33" s="85" t="s">
        <v>9</v>
      </c>
      <c r="D33" s="83">
        <f>GETPIVOTDATA("Sum of "&amp;T(Transactions!$J$19),Pivot!$A$3,"Customer",C33)</f>
        <v>445.41</v>
      </c>
      <c r="E33" s="83">
        <f>GETPIVOTDATA("Sum of "&amp;T(Transactions!$K$19),Pivot!$A$3,"Customer",C33)</f>
        <v>295.46999999999997</v>
      </c>
      <c r="F33" s="83">
        <f t="shared" si="1"/>
        <v>149.94000000000005</v>
      </c>
      <c r="G33" s="81">
        <f>+GETPIVOTDATA("Sum of "&amp;T(Transactions!$M$19),Pivot!$A$3,"Customer","WFEC")</f>
        <v>-7.341533879998791</v>
      </c>
      <c r="H33" s="81">
        <f>GETPIVOTDATA("Sum of "&amp;T(Transactions!$Q$19),Pivot!$A$3,"Customer",C33)</f>
        <v>8.81999999999996</v>
      </c>
      <c r="I33" s="84">
        <f t="shared" si="0"/>
        <v>133.7784661200013</v>
      </c>
      <c r="K33" s="184"/>
      <c r="L33" s="123"/>
    </row>
    <row r="34" spans="3:11" ht="24">
      <c r="C34" s="165" t="s">
        <v>44</v>
      </c>
      <c r="D34" s="166">
        <f aca="true" t="shared" si="2" ref="D34:I34">SUM(D21:D33)</f>
        <v>25614.61</v>
      </c>
      <c r="E34" s="166">
        <f t="shared" si="2"/>
        <v>16991.870000000003</v>
      </c>
      <c r="F34" s="166">
        <f t="shared" si="2"/>
        <v>8622.74</v>
      </c>
      <c r="G34" s="167">
        <f t="shared" si="2"/>
        <v>-422.19646424183526</v>
      </c>
      <c r="H34" s="167">
        <f t="shared" si="2"/>
        <v>507.2199999999971</v>
      </c>
      <c r="I34" s="168">
        <f t="shared" si="2"/>
        <v>7693.323535758165</v>
      </c>
      <c r="K34" s="184"/>
    </row>
    <row r="35" spans="3:11" ht="12.75">
      <c r="C35" s="189" t="s">
        <v>21</v>
      </c>
      <c r="D35" s="83">
        <f>GETPIVOTDATA("Sum of "&amp;T(Transactions!$J$19),Pivot!$A$3,"Customer",C35)</f>
        <v>38650.68</v>
      </c>
      <c r="E35" s="83">
        <f>GETPIVOTDATA("Sum of "&amp;T(Transactions!$K$19),Pivot!$A$3,"Customer",C35)</f>
        <v>25639.56</v>
      </c>
      <c r="F35" s="83">
        <f t="shared" si="1"/>
        <v>13011.119999999999</v>
      </c>
      <c r="G35" s="81">
        <f>+GETPIVOTDATA("Sum of "&amp;T(Transactions!$M$19),Pivot!$A$3,"Customer","PSO")</f>
        <v>-637.0653481174463</v>
      </c>
      <c r="H35" s="81">
        <f>GETPIVOTDATA("Sum of "&amp;T(Transactions!$Q$19),Pivot!$A$3,"Customer",C35)</f>
        <v>765.359999999996</v>
      </c>
      <c r="I35" s="84">
        <f>F35+G35-H35</f>
        <v>11608.694651882557</v>
      </c>
      <c r="J35" s="123"/>
      <c r="K35" s="184"/>
    </row>
    <row r="36" spans="3:11" ht="12.75">
      <c r="C36" s="190" t="s">
        <v>22</v>
      </c>
      <c r="D36" s="83">
        <f>GETPIVOTDATA("Sum of "&amp;T(Transactions!$J$19),Pivot!$A$3,"Customer",C36)</f>
        <v>37688.15000000001</v>
      </c>
      <c r="E36" s="83">
        <f>GETPIVOTDATA("Sum of "&amp;T(Transactions!$K$19),Pivot!$A$3,"Customer",C36)</f>
        <v>25001.050000000003</v>
      </c>
      <c r="F36" s="83">
        <f>D36-E36</f>
        <v>12687.100000000006</v>
      </c>
      <c r="G36" s="81">
        <f>+GETPIVOTDATA("Sum of "&amp;T(Transactions!$M$19),Pivot!$A$3,"Customer","SWEPCO")</f>
        <v>-621.2003100502379</v>
      </c>
      <c r="H36" s="81">
        <f>GETPIVOTDATA("Sum of "&amp;T(Transactions!$Q$19),Pivot!$A$3,"Customer",C36)</f>
        <v>746.2999999999965</v>
      </c>
      <c r="I36" s="84">
        <f>F36+G36-H36</f>
        <v>11319.599689949773</v>
      </c>
      <c r="J36" s="123"/>
      <c r="K36" s="184"/>
    </row>
    <row r="37" spans="3:11" ht="12.75">
      <c r="C37" s="191" t="s">
        <v>83</v>
      </c>
      <c r="D37" s="83">
        <f>GETPIVOTDATA("Sum of "&amp;T(Transactions!$J$19),Pivot!$A$3,"Customer",C37)</f>
        <v>1588.7300000000002</v>
      </c>
      <c r="E37" s="83">
        <f>GETPIVOTDATA("Sum of "&amp;T(Transactions!$K$19),Pivot!$A$3,"Customer",C37)</f>
        <v>1053.9099999999999</v>
      </c>
      <c r="F37" s="83">
        <f>D37-E37</f>
        <v>534.8200000000004</v>
      </c>
      <c r="G37" s="81">
        <f>+GETPIVOTDATA("Sum of "&amp;T(Transactions!$M$19),Pivot!$A$3,"Customer","SWEPCO-Valley")</f>
        <v>-26.186468918907263</v>
      </c>
      <c r="H37" s="81">
        <f>GETPIVOTDATA("Sum of "&amp;T(Transactions!$Q$19),Pivot!$A$3,"Customer",C37)</f>
        <v>31.45999999999985</v>
      </c>
      <c r="I37" s="84">
        <f>F37+G37-H37</f>
        <v>477.17353108109324</v>
      </c>
      <c r="K37" s="184"/>
    </row>
    <row r="38" spans="3:11" ht="24">
      <c r="C38" s="132" t="s">
        <v>53</v>
      </c>
      <c r="D38" s="133">
        <f aca="true" t="shared" si="3" ref="D38:I38">SUM(D35:D37)</f>
        <v>77927.56000000001</v>
      </c>
      <c r="E38" s="133">
        <f t="shared" si="3"/>
        <v>51694.520000000004</v>
      </c>
      <c r="F38" s="133">
        <f t="shared" si="3"/>
        <v>26233.040000000005</v>
      </c>
      <c r="G38" s="134">
        <f t="shared" si="3"/>
        <v>-1284.4521270865914</v>
      </c>
      <c r="H38" s="134">
        <f t="shared" si="3"/>
        <v>1543.1199999999924</v>
      </c>
      <c r="I38" s="135">
        <f t="shared" si="3"/>
        <v>23405.467872913425</v>
      </c>
      <c r="K38" s="184"/>
    </row>
    <row r="39" spans="3:11" ht="23.25" customHeight="1" thickBot="1">
      <c r="C39" s="121" t="s">
        <v>45</v>
      </c>
      <c r="D39" s="118">
        <f aca="true" t="shared" si="4" ref="D39:I39">SUM(D34,D38)</f>
        <v>103542.17000000001</v>
      </c>
      <c r="E39" s="119">
        <f t="shared" si="4"/>
        <v>68686.39000000001</v>
      </c>
      <c r="F39" s="118">
        <f t="shared" si="4"/>
        <v>34855.780000000006</v>
      </c>
      <c r="G39" s="119">
        <f t="shared" si="4"/>
        <v>-1706.6485913284266</v>
      </c>
      <c r="H39" s="119">
        <f t="shared" si="4"/>
        <v>2050.3399999999897</v>
      </c>
      <c r="I39" s="120">
        <f t="shared" si="4"/>
        <v>31098.79140867159</v>
      </c>
      <c r="K39" s="184"/>
    </row>
    <row r="40" spans="5:8" ht="12.75">
      <c r="E40" s="8"/>
      <c r="F40" s="8"/>
      <c r="G40" s="8"/>
      <c r="H40" s="8"/>
    </row>
    <row r="41" ht="12.75">
      <c r="C41" s="15"/>
    </row>
    <row r="42" ht="12.75">
      <c r="C42" s="15"/>
    </row>
    <row r="43" ht="12.75">
      <c r="C43" s="15"/>
    </row>
  </sheetData>
  <sheetProtection/>
  <mergeCells count="4">
    <mergeCell ref="C1:I1"/>
    <mergeCell ref="C2:I2"/>
    <mergeCell ref="C3:I3"/>
    <mergeCell ref="C4:I4"/>
  </mergeCells>
  <printOptions horizontalCentered="1"/>
  <pageMargins left="0.5" right="0.75" top="0.9" bottom="0.53" header="0.5" footer="0.5"/>
  <pageSetup fitToHeight="1" fitToWidth="1" horizontalDpi="1200" verticalDpi="1200" orientation="portrait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123"/>
  <sheetViews>
    <sheetView zoomScale="85" zoomScaleNormal="85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25" sqref="D25"/>
    </sheetView>
  </sheetViews>
  <sheetFormatPr defaultColWidth="9.140625" defaultRowHeight="12.75"/>
  <cols>
    <col min="1" max="1" width="19.140625" style="0" customWidth="1"/>
    <col min="2" max="2" width="28.57421875" style="0" bestFit="1" customWidth="1"/>
    <col min="3" max="14" width="15.421875" style="0" bestFit="1" customWidth="1"/>
    <col min="15" max="15" width="10.57421875" style="0" bestFit="1" customWidth="1"/>
  </cols>
  <sheetData>
    <row r="3" spans="1:15" ht="12.75">
      <c r="A3" s="201"/>
      <c r="B3" s="202"/>
      <c r="C3" s="203" t="s">
        <v>55</v>
      </c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4"/>
    </row>
    <row r="4" spans="1:15" ht="12.75">
      <c r="A4" s="203" t="s">
        <v>0</v>
      </c>
      <c r="B4" s="203" t="s">
        <v>24</v>
      </c>
      <c r="C4" s="205">
        <v>43101</v>
      </c>
      <c r="D4" s="206">
        <v>43132</v>
      </c>
      <c r="E4" s="206">
        <v>43160</v>
      </c>
      <c r="F4" s="206">
        <v>43191</v>
      </c>
      <c r="G4" s="206">
        <v>43221</v>
      </c>
      <c r="H4" s="206">
        <v>43252</v>
      </c>
      <c r="I4" s="206">
        <v>43282</v>
      </c>
      <c r="J4" s="206">
        <v>43313</v>
      </c>
      <c r="K4" s="206">
        <v>43344</v>
      </c>
      <c r="L4" s="206">
        <v>43374</v>
      </c>
      <c r="M4" s="206">
        <v>43405</v>
      </c>
      <c r="N4" s="206">
        <v>43435</v>
      </c>
      <c r="O4" s="207" t="s">
        <v>18</v>
      </c>
    </row>
    <row r="5" spans="1:15" ht="12.75">
      <c r="A5" s="201" t="s">
        <v>14</v>
      </c>
      <c r="B5" s="201" t="s">
        <v>72</v>
      </c>
      <c r="C5" s="210">
        <v>960.51</v>
      </c>
      <c r="D5" s="211">
        <v>731.24</v>
      </c>
      <c r="E5" s="211">
        <v>609.03</v>
      </c>
      <c r="F5" s="211">
        <v>449.45</v>
      </c>
      <c r="G5" s="211">
        <v>791.84</v>
      </c>
      <c r="H5" s="211">
        <v>878.7</v>
      </c>
      <c r="I5" s="211">
        <v>942.33</v>
      </c>
      <c r="J5" s="211">
        <v>823.15</v>
      </c>
      <c r="K5" s="211">
        <v>809.01</v>
      </c>
      <c r="L5" s="211">
        <v>689.83</v>
      </c>
      <c r="M5" s="211">
        <v>707</v>
      </c>
      <c r="N5" s="211">
        <v>703.97</v>
      </c>
      <c r="O5" s="212">
        <v>9096.06</v>
      </c>
    </row>
    <row r="6" spans="1:15" ht="12.75">
      <c r="A6" s="236"/>
      <c r="B6" s="208" t="s">
        <v>25</v>
      </c>
      <c r="C6" s="213">
        <v>323.3399999999999</v>
      </c>
      <c r="D6" s="214">
        <v>246.15999999999997</v>
      </c>
      <c r="E6" s="214">
        <v>205.01999999999992</v>
      </c>
      <c r="F6" s="214">
        <v>151.29999999999995</v>
      </c>
      <c r="G6" s="214">
        <v>266.55999999999995</v>
      </c>
      <c r="H6" s="214">
        <v>295.79999999999995</v>
      </c>
      <c r="I6" s="214">
        <v>317.22</v>
      </c>
      <c r="J6" s="214">
        <v>277.0999999999999</v>
      </c>
      <c r="K6" s="214">
        <v>272.3399999999999</v>
      </c>
      <c r="L6" s="214">
        <v>232.22000000000003</v>
      </c>
      <c r="M6" s="214">
        <v>238</v>
      </c>
      <c r="N6" s="214">
        <v>236.98000000000002</v>
      </c>
      <c r="O6" s="215">
        <v>3062.0399999999995</v>
      </c>
    </row>
    <row r="7" spans="1:15" ht="12.75">
      <c r="A7" s="236"/>
      <c r="B7" s="208" t="s">
        <v>26</v>
      </c>
      <c r="C7" s="213">
        <v>-15.831743128976989</v>
      </c>
      <c r="D7" s="214">
        <v>-12.052767639725909</v>
      </c>
      <c r="E7" s="214">
        <v>-10.038423876733043</v>
      </c>
      <c r="F7" s="214">
        <v>-7.408123756461366</v>
      </c>
      <c r="G7" s="214">
        <v>-13.05161578666452</v>
      </c>
      <c r="H7" s="214">
        <v>-14.483298130609864</v>
      </c>
      <c r="I7" s="214">
        <v>-15.532088684895404</v>
      </c>
      <c r="J7" s="214">
        <v>-13.567687329249472</v>
      </c>
      <c r="K7" s="214">
        <v>-13.334622761630461</v>
      </c>
      <c r="L7" s="214">
        <v>-11.370221405984525</v>
      </c>
      <c r="M7" s="214">
        <v>-11.653228380950464</v>
      </c>
      <c r="N7" s="214">
        <v>-11.603285973603533</v>
      </c>
      <c r="O7" s="215">
        <v>-149.92710685548553</v>
      </c>
    </row>
    <row r="8" spans="1:15" ht="12.75">
      <c r="A8" s="236"/>
      <c r="B8" s="208" t="s">
        <v>27</v>
      </c>
      <c r="C8" s="213">
        <v>288.48825687102305</v>
      </c>
      <c r="D8" s="214">
        <v>219.62723236027415</v>
      </c>
      <c r="E8" s="214">
        <v>182.92157612326693</v>
      </c>
      <c r="F8" s="214">
        <v>134.99187624353866</v>
      </c>
      <c r="G8" s="214">
        <v>237.8283842133356</v>
      </c>
      <c r="H8" s="214">
        <v>263.91670186939024</v>
      </c>
      <c r="I8" s="214">
        <v>283.02791131510463</v>
      </c>
      <c r="J8" s="214">
        <v>247.23231267075062</v>
      </c>
      <c r="K8" s="214">
        <v>242.9853772383696</v>
      </c>
      <c r="L8" s="214">
        <v>207.18977859401554</v>
      </c>
      <c r="M8" s="214">
        <v>212.3467716190496</v>
      </c>
      <c r="N8" s="214">
        <v>211.43671402639654</v>
      </c>
      <c r="O8" s="215">
        <v>2731.9928931445147</v>
      </c>
    </row>
    <row r="9" spans="1:15" ht="12.75">
      <c r="A9" s="236"/>
      <c r="B9" s="208" t="s">
        <v>51</v>
      </c>
      <c r="C9" s="216">
        <v>637.1700000000001</v>
      </c>
      <c r="D9" s="194">
        <v>485.08000000000004</v>
      </c>
      <c r="E9" s="194">
        <v>404.01000000000005</v>
      </c>
      <c r="F9" s="194">
        <v>298.15000000000003</v>
      </c>
      <c r="G9" s="194">
        <v>525.2800000000001</v>
      </c>
      <c r="H9" s="194">
        <v>582.9000000000001</v>
      </c>
      <c r="I9" s="194">
        <v>625.11</v>
      </c>
      <c r="J9" s="194">
        <v>546.0500000000001</v>
      </c>
      <c r="K9" s="194">
        <v>536.6700000000001</v>
      </c>
      <c r="L9" s="194">
        <v>457.61</v>
      </c>
      <c r="M9" s="194">
        <v>469</v>
      </c>
      <c r="N9" s="194">
        <v>466.99</v>
      </c>
      <c r="O9" s="217">
        <v>6034.0199999999995</v>
      </c>
    </row>
    <row r="10" spans="1:15" ht="12.75">
      <c r="A10" s="236"/>
      <c r="B10" s="208" t="s">
        <v>90</v>
      </c>
      <c r="C10" s="216">
        <v>656.1899999999999</v>
      </c>
      <c r="D10" s="194">
        <v>499.55999999999995</v>
      </c>
      <c r="E10" s="194">
        <v>416.07</v>
      </c>
      <c r="F10" s="194">
        <v>307.04999999999995</v>
      </c>
      <c r="G10" s="194">
        <v>540.9599999999999</v>
      </c>
      <c r="H10" s="194">
        <v>600.3</v>
      </c>
      <c r="I10" s="194">
        <v>643.77</v>
      </c>
      <c r="J10" s="194">
        <v>562.3499999999999</v>
      </c>
      <c r="K10" s="194">
        <v>552.6899999999999</v>
      </c>
      <c r="L10" s="194">
        <v>471.27</v>
      </c>
      <c r="M10" s="194">
        <v>482.99999999999994</v>
      </c>
      <c r="N10" s="194">
        <v>480.92999999999995</v>
      </c>
      <c r="O10" s="217">
        <v>6214.139999999999</v>
      </c>
    </row>
    <row r="11" spans="1:15" ht="12.75">
      <c r="A11" s="236"/>
      <c r="B11" s="208" t="s">
        <v>92</v>
      </c>
      <c r="C11" s="216">
        <v>19.019999999999868</v>
      </c>
      <c r="D11" s="194">
        <v>14.479999999999905</v>
      </c>
      <c r="E11" s="194">
        <v>12.059999999999945</v>
      </c>
      <c r="F11" s="194">
        <v>8.89999999999992</v>
      </c>
      <c r="G11" s="194">
        <v>15.679999999999836</v>
      </c>
      <c r="H11" s="194">
        <v>17.399999999999864</v>
      </c>
      <c r="I11" s="194">
        <v>18.659999999999968</v>
      </c>
      <c r="J11" s="194">
        <v>16.29999999999984</v>
      </c>
      <c r="K11" s="194">
        <v>16.019999999999868</v>
      </c>
      <c r="L11" s="194">
        <v>13.659999999999968</v>
      </c>
      <c r="M11" s="194">
        <v>13.999999999999943</v>
      </c>
      <c r="N11" s="194">
        <v>13.93999999999994</v>
      </c>
      <c r="O11" s="217">
        <v>180.11999999999887</v>
      </c>
    </row>
    <row r="12" spans="1:15" ht="12.75">
      <c r="A12" s="201" t="s">
        <v>17</v>
      </c>
      <c r="B12" s="201" t="s">
        <v>72</v>
      </c>
      <c r="C12" s="210">
        <v>105.04</v>
      </c>
      <c r="D12" s="211">
        <v>98.98</v>
      </c>
      <c r="E12" s="211">
        <v>90.9</v>
      </c>
      <c r="F12" s="211">
        <v>61.61</v>
      </c>
      <c r="G12" s="211">
        <v>103.02</v>
      </c>
      <c r="H12" s="211">
        <v>107.06</v>
      </c>
      <c r="I12" s="211">
        <v>109.08</v>
      </c>
      <c r="J12" s="211">
        <v>105.04</v>
      </c>
      <c r="K12" s="211">
        <v>111.1</v>
      </c>
      <c r="L12" s="211">
        <v>110.09</v>
      </c>
      <c r="M12" s="211">
        <v>102.01</v>
      </c>
      <c r="N12" s="211">
        <v>103.02</v>
      </c>
      <c r="O12" s="212">
        <v>1206.95</v>
      </c>
    </row>
    <row r="13" spans="1:15" ht="12.75">
      <c r="A13" s="236"/>
      <c r="B13" s="208" t="s">
        <v>25</v>
      </c>
      <c r="C13" s="213">
        <v>35.36</v>
      </c>
      <c r="D13" s="214">
        <v>33.31999999999999</v>
      </c>
      <c r="E13" s="214">
        <v>30.6</v>
      </c>
      <c r="F13" s="214">
        <v>20.739999999999995</v>
      </c>
      <c r="G13" s="214">
        <v>34.67999999999999</v>
      </c>
      <c r="H13" s="214">
        <v>36.03999999999999</v>
      </c>
      <c r="I13" s="214">
        <v>36.72</v>
      </c>
      <c r="J13" s="214">
        <v>35.36</v>
      </c>
      <c r="K13" s="214">
        <v>37.39999999999999</v>
      </c>
      <c r="L13" s="214">
        <v>37.06</v>
      </c>
      <c r="M13" s="214">
        <v>34.34</v>
      </c>
      <c r="N13" s="214">
        <v>34.67999999999999</v>
      </c>
      <c r="O13" s="215">
        <v>406.3</v>
      </c>
    </row>
    <row r="14" spans="1:15" ht="12.75">
      <c r="A14" s="236"/>
      <c r="B14" s="208" t="s">
        <v>26</v>
      </c>
      <c r="C14" s="213">
        <v>-1.7313367880269264</v>
      </c>
      <c r="D14" s="214">
        <v>-1.631451973333065</v>
      </c>
      <c r="E14" s="214">
        <v>-1.4982722204079169</v>
      </c>
      <c r="F14" s="214">
        <v>-1.0154956160542548</v>
      </c>
      <c r="G14" s="214">
        <v>-1.6980418497956393</v>
      </c>
      <c r="H14" s="214">
        <v>-1.7646317262582134</v>
      </c>
      <c r="I14" s="214">
        <v>-1.7979266644895004</v>
      </c>
      <c r="J14" s="214">
        <v>-1.7313367880269264</v>
      </c>
      <c r="K14" s="214">
        <v>-1.8312216027207875</v>
      </c>
      <c r="L14" s="214">
        <v>-1.8145741336051437</v>
      </c>
      <c r="M14" s="214">
        <v>-1.6813943806799956</v>
      </c>
      <c r="N14" s="214">
        <v>-1.6980418497956393</v>
      </c>
      <c r="O14" s="215">
        <v>-19.89372559319401</v>
      </c>
    </row>
    <row r="15" spans="1:15" ht="12.75">
      <c r="A15" s="236"/>
      <c r="B15" s="208" t="s">
        <v>27</v>
      </c>
      <c r="C15" s="213">
        <v>31.548663211973086</v>
      </c>
      <c r="D15" s="214">
        <v>29.72854802666695</v>
      </c>
      <c r="E15" s="214">
        <v>27.301727779592095</v>
      </c>
      <c r="F15" s="214">
        <v>18.504504383945747</v>
      </c>
      <c r="G15" s="214">
        <v>30.941958150204364</v>
      </c>
      <c r="H15" s="214">
        <v>32.155368273741786</v>
      </c>
      <c r="I15" s="214">
        <v>32.7620733355105</v>
      </c>
      <c r="J15" s="214">
        <v>31.548663211973086</v>
      </c>
      <c r="K15" s="214">
        <v>33.368778397279215</v>
      </c>
      <c r="L15" s="214">
        <v>33.06542586639487</v>
      </c>
      <c r="M15" s="214">
        <v>30.63860561932001</v>
      </c>
      <c r="N15" s="214">
        <v>30.941958150204364</v>
      </c>
      <c r="O15" s="215">
        <v>362.50627440680614</v>
      </c>
    </row>
    <row r="16" spans="1:15" ht="12.75">
      <c r="A16" s="236"/>
      <c r="B16" s="208" t="s">
        <v>51</v>
      </c>
      <c r="C16" s="216">
        <v>69.68</v>
      </c>
      <c r="D16" s="194">
        <v>65.66000000000001</v>
      </c>
      <c r="E16" s="194">
        <v>60.300000000000004</v>
      </c>
      <c r="F16" s="194">
        <v>40.870000000000005</v>
      </c>
      <c r="G16" s="194">
        <v>68.34</v>
      </c>
      <c r="H16" s="194">
        <v>71.02000000000001</v>
      </c>
      <c r="I16" s="194">
        <v>72.36</v>
      </c>
      <c r="J16" s="194">
        <v>69.68</v>
      </c>
      <c r="K16" s="194">
        <v>73.7</v>
      </c>
      <c r="L16" s="194">
        <v>73.03</v>
      </c>
      <c r="M16" s="194">
        <v>67.67</v>
      </c>
      <c r="N16" s="194">
        <v>68.34</v>
      </c>
      <c r="O16" s="217">
        <v>800.6500000000001</v>
      </c>
    </row>
    <row r="17" spans="1:15" ht="12.75">
      <c r="A17" s="236"/>
      <c r="B17" s="208" t="s">
        <v>90</v>
      </c>
      <c r="C17" s="216">
        <v>71.75999999999999</v>
      </c>
      <c r="D17" s="194">
        <v>67.61999999999999</v>
      </c>
      <c r="E17" s="194">
        <v>62.099999999999994</v>
      </c>
      <c r="F17" s="194">
        <v>42.089999999999996</v>
      </c>
      <c r="G17" s="194">
        <v>70.38</v>
      </c>
      <c r="H17" s="194">
        <v>73.14</v>
      </c>
      <c r="I17" s="194">
        <v>74.52</v>
      </c>
      <c r="J17" s="194">
        <v>71.75999999999999</v>
      </c>
      <c r="K17" s="194">
        <v>75.89999999999999</v>
      </c>
      <c r="L17" s="194">
        <v>75.21</v>
      </c>
      <c r="M17" s="194">
        <v>69.69</v>
      </c>
      <c r="N17" s="194">
        <v>70.38</v>
      </c>
      <c r="O17" s="217">
        <v>824.5499999999998</v>
      </c>
    </row>
    <row r="18" spans="1:15" ht="12.75">
      <c r="A18" s="236"/>
      <c r="B18" s="208" t="s">
        <v>92</v>
      </c>
      <c r="C18" s="216">
        <v>2.079999999999984</v>
      </c>
      <c r="D18" s="194">
        <v>1.9599999999999795</v>
      </c>
      <c r="E18" s="194">
        <v>1.79999999999999</v>
      </c>
      <c r="F18" s="194">
        <v>1.2199999999999918</v>
      </c>
      <c r="G18" s="194">
        <v>2.039999999999992</v>
      </c>
      <c r="H18" s="194">
        <v>2.1199999999999903</v>
      </c>
      <c r="I18" s="194">
        <v>2.1599999999999966</v>
      </c>
      <c r="J18" s="194">
        <v>2.079999999999984</v>
      </c>
      <c r="K18" s="194">
        <v>2.1999999999999886</v>
      </c>
      <c r="L18" s="194">
        <v>2.1799999999999926</v>
      </c>
      <c r="M18" s="194">
        <v>2.019999999999996</v>
      </c>
      <c r="N18" s="194">
        <v>2.039999999999992</v>
      </c>
      <c r="O18" s="217">
        <v>23.899999999999878</v>
      </c>
    </row>
    <row r="19" spans="1:15" ht="12.75">
      <c r="A19" s="201" t="s">
        <v>13</v>
      </c>
      <c r="B19" s="201" t="s">
        <v>72</v>
      </c>
      <c r="C19" s="210">
        <v>1287.75</v>
      </c>
      <c r="D19" s="211">
        <v>871.63</v>
      </c>
      <c r="E19" s="211">
        <v>716.09</v>
      </c>
      <c r="F19" s="211">
        <v>501.97</v>
      </c>
      <c r="G19" s="211">
        <v>804.97</v>
      </c>
      <c r="H19" s="211">
        <v>873.65</v>
      </c>
      <c r="I19" s="211">
        <v>937.28</v>
      </c>
      <c r="J19" s="211">
        <v>845.37</v>
      </c>
      <c r="K19" s="211">
        <v>809.01</v>
      </c>
      <c r="L19" s="211">
        <v>677.71</v>
      </c>
      <c r="M19" s="211">
        <v>905.97</v>
      </c>
      <c r="N19" s="211">
        <v>887.79</v>
      </c>
      <c r="O19" s="212">
        <v>10119.189999999999</v>
      </c>
    </row>
    <row r="20" spans="1:15" ht="12.75">
      <c r="A20" s="236"/>
      <c r="B20" s="208" t="s">
        <v>25</v>
      </c>
      <c r="C20" s="213">
        <v>433.5</v>
      </c>
      <c r="D20" s="214">
        <v>293.41999999999996</v>
      </c>
      <c r="E20" s="214">
        <v>241.06</v>
      </c>
      <c r="F20" s="214">
        <v>168.98000000000002</v>
      </c>
      <c r="G20" s="214">
        <v>270.98</v>
      </c>
      <c r="H20" s="214">
        <v>294.0999999999999</v>
      </c>
      <c r="I20" s="214">
        <v>315.52</v>
      </c>
      <c r="J20" s="214">
        <v>284.5799999999999</v>
      </c>
      <c r="K20" s="214">
        <v>272.3399999999999</v>
      </c>
      <c r="L20" s="214">
        <v>228.14</v>
      </c>
      <c r="M20" s="214">
        <v>304.98</v>
      </c>
      <c r="N20" s="214">
        <v>298.8599999999999</v>
      </c>
      <c r="O20" s="215">
        <v>3406.459999999999</v>
      </c>
    </row>
    <row r="21" spans="1:15" ht="12.75">
      <c r="A21" s="236"/>
      <c r="B21" s="208" t="s">
        <v>26</v>
      </c>
      <c r="C21" s="213">
        <v>-21.22552312244549</v>
      </c>
      <c r="D21" s="214">
        <v>-14.366765846800359</v>
      </c>
      <c r="E21" s="214">
        <v>-11.803055602991257</v>
      </c>
      <c r="F21" s="214">
        <v>-8.27379215047483</v>
      </c>
      <c r="G21" s="214">
        <v>-13.268032885167885</v>
      </c>
      <c r="H21" s="214">
        <v>-14.400060785031647</v>
      </c>
      <c r="I21" s="214">
        <v>-15.448851339317189</v>
      </c>
      <c r="J21" s="214">
        <v>-13.933931649793626</v>
      </c>
      <c r="K21" s="214">
        <v>-13.334622761630461</v>
      </c>
      <c r="L21" s="214">
        <v>-11.170451776596803</v>
      </c>
      <c r="M21" s="214">
        <v>-14.93277979673224</v>
      </c>
      <c r="N21" s="214">
        <v>-14.633125352650655</v>
      </c>
      <c r="O21" s="215">
        <v>-166.79099306963244</v>
      </c>
    </row>
    <row r="22" spans="1:15" ht="12.75">
      <c r="A22" s="236"/>
      <c r="B22" s="208" t="s">
        <v>27</v>
      </c>
      <c r="C22" s="213">
        <v>386.7744768775546</v>
      </c>
      <c r="D22" s="214">
        <v>261.7932341531997</v>
      </c>
      <c r="E22" s="214">
        <v>215.0769443970088</v>
      </c>
      <c r="F22" s="214">
        <v>150.76620784952524</v>
      </c>
      <c r="G22" s="214">
        <v>241.7719671148322</v>
      </c>
      <c r="H22" s="214">
        <v>262.3999392149684</v>
      </c>
      <c r="I22" s="214">
        <v>281.51114866068286</v>
      </c>
      <c r="J22" s="214">
        <v>253.9060683502064</v>
      </c>
      <c r="K22" s="214">
        <v>242.9853772383696</v>
      </c>
      <c r="L22" s="214">
        <v>203.5495482234033</v>
      </c>
      <c r="M22" s="214">
        <v>272.10722020326784</v>
      </c>
      <c r="N22" s="214">
        <v>266.6468746473493</v>
      </c>
      <c r="O22" s="215">
        <v>3039.2890069303676</v>
      </c>
    </row>
    <row r="23" spans="1:15" ht="12.75">
      <c r="A23" s="236"/>
      <c r="B23" s="208" t="s">
        <v>51</v>
      </c>
      <c r="C23" s="216">
        <v>854.25</v>
      </c>
      <c r="D23" s="194">
        <v>578.21</v>
      </c>
      <c r="E23" s="194">
        <v>475.03000000000003</v>
      </c>
      <c r="F23" s="194">
        <v>332.99</v>
      </c>
      <c r="G23" s="194">
        <v>533.99</v>
      </c>
      <c r="H23" s="194">
        <v>579.5500000000001</v>
      </c>
      <c r="I23" s="194">
        <v>621.76</v>
      </c>
      <c r="J23" s="194">
        <v>560.7900000000001</v>
      </c>
      <c r="K23" s="194">
        <v>536.6700000000001</v>
      </c>
      <c r="L23" s="194">
        <v>449.57000000000005</v>
      </c>
      <c r="M23" s="194">
        <v>600.99</v>
      </c>
      <c r="N23" s="194">
        <v>588.9300000000001</v>
      </c>
      <c r="O23" s="217">
        <v>6712.7300000000005</v>
      </c>
    </row>
    <row r="24" spans="1:15" ht="12.75">
      <c r="A24" s="236"/>
      <c r="B24" s="208" t="s">
        <v>90</v>
      </c>
      <c r="C24" s="216">
        <v>879.7499999999999</v>
      </c>
      <c r="D24" s="194">
        <v>595.4699999999999</v>
      </c>
      <c r="E24" s="194">
        <v>489.21</v>
      </c>
      <c r="F24" s="194">
        <v>342.92999999999995</v>
      </c>
      <c r="G24" s="194">
        <v>549.93</v>
      </c>
      <c r="H24" s="194">
        <v>596.8499999999999</v>
      </c>
      <c r="I24" s="194">
        <v>640.3199999999999</v>
      </c>
      <c r="J24" s="194">
        <v>577.53</v>
      </c>
      <c r="K24" s="194">
        <v>552.6899999999999</v>
      </c>
      <c r="L24" s="194">
        <v>462.98999999999995</v>
      </c>
      <c r="M24" s="194">
        <v>618.93</v>
      </c>
      <c r="N24" s="194">
        <v>606.51</v>
      </c>
      <c r="O24" s="217">
        <v>6913.109999999999</v>
      </c>
    </row>
    <row r="25" spans="1:15" ht="12.75">
      <c r="A25" s="236"/>
      <c r="B25" s="208" t="s">
        <v>92</v>
      </c>
      <c r="C25" s="216">
        <v>25.499999999999886</v>
      </c>
      <c r="D25" s="194">
        <v>17.259999999999877</v>
      </c>
      <c r="E25" s="194">
        <v>14.17999999999995</v>
      </c>
      <c r="F25" s="194">
        <v>9.93999999999994</v>
      </c>
      <c r="G25" s="194">
        <v>15.93999999999994</v>
      </c>
      <c r="H25" s="194">
        <v>17.29999999999984</v>
      </c>
      <c r="I25" s="194">
        <v>18.559999999999945</v>
      </c>
      <c r="J25" s="194">
        <v>16.739999999999895</v>
      </c>
      <c r="K25" s="194">
        <v>16.019999999999868</v>
      </c>
      <c r="L25" s="194">
        <v>13.419999999999902</v>
      </c>
      <c r="M25" s="194">
        <v>17.93999999999994</v>
      </c>
      <c r="N25" s="194">
        <v>17.579999999999927</v>
      </c>
      <c r="O25" s="217">
        <v>200.37999999999892</v>
      </c>
    </row>
    <row r="26" spans="1:15" ht="12.75">
      <c r="A26" s="201" t="s">
        <v>15</v>
      </c>
      <c r="B26" s="201" t="s">
        <v>72</v>
      </c>
      <c r="C26" s="210">
        <v>9.09</v>
      </c>
      <c r="D26" s="211">
        <v>7.07</v>
      </c>
      <c r="E26" s="211">
        <v>6.0600000000000005</v>
      </c>
      <c r="F26" s="211">
        <v>8.08</v>
      </c>
      <c r="G26" s="211">
        <v>11.11</v>
      </c>
      <c r="H26" s="211">
        <v>14.14</v>
      </c>
      <c r="I26" s="211">
        <v>18.18</v>
      </c>
      <c r="J26" s="211">
        <v>15.15</v>
      </c>
      <c r="K26" s="211">
        <v>7.07</v>
      </c>
      <c r="L26" s="211">
        <v>7.07</v>
      </c>
      <c r="M26" s="211">
        <v>7.07</v>
      </c>
      <c r="N26" s="211">
        <v>7.07</v>
      </c>
      <c r="O26" s="212">
        <v>117.15999999999997</v>
      </c>
    </row>
    <row r="27" spans="1:15" ht="12.75">
      <c r="A27" s="236"/>
      <c r="B27" s="208" t="s">
        <v>25</v>
      </c>
      <c r="C27" s="213">
        <v>3.0599999999999996</v>
      </c>
      <c r="D27" s="214">
        <v>2.38</v>
      </c>
      <c r="E27" s="214">
        <v>2.04</v>
      </c>
      <c r="F27" s="214">
        <v>2.7199999999999998</v>
      </c>
      <c r="G27" s="214">
        <v>3.7399999999999993</v>
      </c>
      <c r="H27" s="214">
        <v>4.76</v>
      </c>
      <c r="I27" s="214">
        <v>6.119999999999999</v>
      </c>
      <c r="J27" s="214">
        <v>5.1</v>
      </c>
      <c r="K27" s="214">
        <v>2.38</v>
      </c>
      <c r="L27" s="214">
        <v>2.38</v>
      </c>
      <c r="M27" s="214">
        <v>2.38</v>
      </c>
      <c r="N27" s="214">
        <v>2.38</v>
      </c>
      <c r="O27" s="215">
        <v>39.440000000000005</v>
      </c>
    </row>
    <row r="28" spans="1:15" ht="12.75">
      <c r="A28" s="236"/>
      <c r="B28" s="208" t="s">
        <v>26</v>
      </c>
      <c r="C28" s="213">
        <v>-0.14982722204079169</v>
      </c>
      <c r="D28" s="214">
        <v>-0.11653228380950466</v>
      </c>
      <c r="E28" s="214">
        <v>-0.09988481469386112</v>
      </c>
      <c r="F28" s="214">
        <v>-0.13317975292514816</v>
      </c>
      <c r="G28" s="214">
        <v>-0.18312216027207873</v>
      </c>
      <c r="H28" s="214">
        <v>-0.23306456761900932</v>
      </c>
      <c r="I28" s="214">
        <v>-0.29965444408158337</v>
      </c>
      <c r="J28" s="214">
        <v>-0.24971203673465284</v>
      </c>
      <c r="K28" s="214">
        <v>-0.11653228380950466</v>
      </c>
      <c r="L28" s="214">
        <v>-0.11653228380950466</v>
      </c>
      <c r="M28" s="214">
        <v>-0.11653228380950466</v>
      </c>
      <c r="N28" s="214">
        <v>-0.11653228380950466</v>
      </c>
      <c r="O28" s="215">
        <v>-1.9311064174146484</v>
      </c>
    </row>
    <row r="29" spans="1:15" ht="12.75">
      <c r="A29" s="236"/>
      <c r="B29" s="208" t="s">
        <v>27</v>
      </c>
      <c r="C29" s="213">
        <v>2.730172777959209</v>
      </c>
      <c r="D29" s="214">
        <v>2.1234677161904956</v>
      </c>
      <c r="E29" s="214">
        <v>1.8201151853061397</v>
      </c>
      <c r="F29" s="214">
        <v>2.4268202470748523</v>
      </c>
      <c r="G29" s="214">
        <v>3.336877839727921</v>
      </c>
      <c r="H29" s="214">
        <v>4.246935432380991</v>
      </c>
      <c r="I29" s="214">
        <v>5.460345555918418</v>
      </c>
      <c r="J29" s="214">
        <v>4.5502879632653475</v>
      </c>
      <c r="K29" s="214">
        <v>2.1234677161904956</v>
      </c>
      <c r="L29" s="214">
        <v>2.1234677161904956</v>
      </c>
      <c r="M29" s="214">
        <v>2.1234677161904956</v>
      </c>
      <c r="N29" s="214">
        <v>2.1234677161904956</v>
      </c>
      <c r="O29" s="215">
        <v>35.18889358258536</v>
      </c>
    </row>
    <row r="30" spans="1:15" ht="12.75">
      <c r="A30" s="236"/>
      <c r="B30" s="208" t="s">
        <v>51</v>
      </c>
      <c r="C30" s="216">
        <v>6.03</v>
      </c>
      <c r="D30" s="194">
        <v>4.69</v>
      </c>
      <c r="E30" s="194">
        <v>4.0200000000000005</v>
      </c>
      <c r="F30" s="194">
        <v>5.36</v>
      </c>
      <c r="G30" s="194">
        <v>7.37</v>
      </c>
      <c r="H30" s="194">
        <v>9.38</v>
      </c>
      <c r="I30" s="194">
        <v>12.06</v>
      </c>
      <c r="J30" s="194">
        <v>10.05</v>
      </c>
      <c r="K30" s="194">
        <v>4.69</v>
      </c>
      <c r="L30" s="194">
        <v>4.69</v>
      </c>
      <c r="M30" s="194">
        <v>4.69</v>
      </c>
      <c r="N30" s="194">
        <v>4.69</v>
      </c>
      <c r="O30" s="217">
        <v>77.72</v>
      </c>
    </row>
    <row r="31" spans="1:15" ht="12.75">
      <c r="A31" s="236"/>
      <c r="B31" s="208" t="s">
        <v>90</v>
      </c>
      <c r="C31" s="216">
        <v>6.209999999999999</v>
      </c>
      <c r="D31" s="194">
        <v>4.83</v>
      </c>
      <c r="E31" s="194">
        <v>4.14</v>
      </c>
      <c r="F31" s="194">
        <v>5.52</v>
      </c>
      <c r="G31" s="194">
        <v>7.59</v>
      </c>
      <c r="H31" s="194">
        <v>9.66</v>
      </c>
      <c r="I31" s="194">
        <v>12.419999999999998</v>
      </c>
      <c r="J31" s="194">
        <v>10.35</v>
      </c>
      <c r="K31" s="194">
        <v>4.83</v>
      </c>
      <c r="L31" s="194">
        <v>4.83</v>
      </c>
      <c r="M31" s="194">
        <v>4.83</v>
      </c>
      <c r="N31" s="194">
        <v>4.83</v>
      </c>
      <c r="O31" s="217">
        <v>80.04</v>
      </c>
    </row>
    <row r="32" spans="1:15" ht="12.75">
      <c r="A32" s="236"/>
      <c r="B32" s="208" t="s">
        <v>92</v>
      </c>
      <c r="C32" s="216">
        <v>0.17999999999999883</v>
      </c>
      <c r="D32" s="194">
        <v>0.13999999999999968</v>
      </c>
      <c r="E32" s="194">
        <v>0.11999999999999922</v>
      </c>
      <c r="F32" s="194">
        <v>0.15999999999999925</v>
      </c>
      <c r="G32" s="194">
        <v>0.21999999999999975</v>
      </c>
      <c r="H32" s="194">
        <v>0.27999999999999936</v>
      </c>
      <c r="I32" s="194">
        <v>0.35999999999999766</v>
      </c>
      <c r="J32" s="194">
        <v>0.29999999999999893</v>
      </c>
      <c r="K32" s="194">
        <v>0.13999999999999968</v>
      </c>
      <c r="L32" s="194">
        <v>0.13999999999999968</v>
      </c>
      <c r="M32" s="194">
        <v>0.13999999999999968</v>
      </c>
      <c r="N32" s="194">
        <v>0.13999999999999968</v>
      </c>
      <c r="O32" s="217">
        <v>2.3199999999999914</v>
      </c>
    </row>
    <row r="33" spans="1:15" ht="12.75">
      <c r="A33" s="201" t="s">
        <v>16</v>
      </c>
      <c r="B33" s="201" t="s">
        <v>72</v>
      </c>
      <c r="C33" s="210">
        <v>2.02</v>
      </c>
      <c r="D33" s="211">
        <v>2.02</v>
      </c>
      <c r="E33" s="211">
        <v>1.01</v>
      </c>
      <c r="F33" s="211">
        <v>1.01</v>
      </c>
      <c r="G33" s="211">
        <v>4.04</v>
      </c>
      <c r="H33" s="211">
        <v>3.0300000000000002</v>
      </c>
      <c r="I33" s="211">
        <v>4.04</v>
      </c>
      <c r="J33" s="211">
        <v>6.0600000000000005</v>
      </c>
      <c r="K33" s="211">
        <v>2.02</v>
      </c>
      <c r="L33" s="211">
        <v>2.02</v>
      </c>
      <c r="M33" s="211">
        <v>3.0300000000000002</v>
      </c>
      <c r="N33" s="211">
        <v>2.02</v>
      </c>
      <c r="O33" s="212">
        <v>32.32</v>
      </c>
    </row>
    <row r="34" spans="1:15" ht="12.75">
      <c r="A34" s="236"/>
      <c r="B34" s="208" t="s">
        <v>25</v>
      </c>
      <c r="C34" s="213">
        <v>0.6799999999999999</v>
      </c>
      <c r="D34" s="214">
        <v>0.6799999999999999</v>
      </c>
      <c r="E34" s="214">
        <v>0.33999999999999997</v>
      </c>
      <c r="F34" s="214">
        <v>0.33999999999999997</v>
      </c>
      <c r="G34" s="214">
        <v>1.3599999999999999</v>
      </c>
      <c r="H34" s="214">
        <v>1.02</v>
      </c>
      <c r="I34" s="214">
        <v>1.3599999999999999</v>
      </c>
      <c r="J34" s="214">
        <v>2.04</v>
      </c>
      <c r="K34" s="214">
        <v>0.6799999999999999</v>
      </c>
      <c r="L34" s="214">
        <v>0.6799999999999999</v>
      </c>
      <c r="M34" s="214">
        <v>1.02</v>
      </c>
      <c r="N34" s="214">
        <v>0.6799999999999999</v>
      </c>
      <c r="O34" s="215">
        <v>10.879999999999999</v>
      </c>
    </row>
    <row r="35" spans="1:15" ht="12.75">
      <c r="A35" s="236"/>
      <c r="B35" s="208" t="s">
        <v>26</v>
      </c>
      <c r="C35" s="213">
        <v>-0.03329493823128704</v>
      </c>
      <c r="D35" s="214">
        <v>-0.03329493823128704</v>
      </c>
      <c r="E35" s="214">
        <v>-0.01664746911564352</v>
      </c>
      <c r="F35" s="214">
        <v>-0.01664746911564352</v>
      </c>
      <c r="G35" s="214">
        <v>-0.06658987646257408</v>
      </c>
      <c r="H35" s="214">
        <v>-0.04994240734693056</v>
      </c>
      <c r="I35" s="214">
        <v>-0.06658987646257408</v>
      </c>
      <c r="J35" s="214">
        <v>-0.09988481469386112</v>
      </c>
      <c r="K35" s="214">
        <v>-0.03329493823128704</v>
      </c>
      <c r="L35" s="214">
        <v>-0.03329493823128704</v>
      </c>
      <c r="M35" s="214">
        <v>-0.04994240734693056</v>
      </c>
      <c r="N35" s="214">
        <v>-0.03329493823128704</v>
      </c>
      <c r="O35" s="215">
        <v>-0.5327190117005927</v>
      </c>
    </row>
    <row r="36" spans="1:15" ht="12.75">
      <c r="A36" s="236"/>
      <c r="B36" s="208" t="s">
        <v>27</v>
      </c>
      <c r="C36" s="213">
        <v>0.6067050617687131</v>
      </c>
      <c r="D36" s="214">
        <v>0.6067050617687131</v>
      </c>
      <c r="E36" s="214">
        <v>0.30335253088435654</v>
      </c>
      <c r="F36" s="214">
        <v>0.30335253088435654</v>
      </c>
      <c r="G36" s="214">
        <v>1.2134101235374262</v>
      </c>
      <c r="H36" s="214">
        <v>0.9100575926530698</v>
      </c>
      <c r="I36" s="214">
        <v>1.2134101235374262</v>
      </c>
      <c r="J36" s="214">
        <v>1.8201151853061397</v>
      </c>
      <c r="K36" s="214">
        <v>0.6067050617687131</v>
      </c>
      <c r="L36" s="214">
        <v>0.6067050617687131</v>
      </c>
      <c r="M36" s="214">
        <v>0.9100575926530698</v>
      </c>
      <c r="N36" s="214">
        <v>0.6067050617687131</v>
      </c>
      <c r="O36" s="215">
        <v>9.70728098829941</v>
      </c>
    </row>
    <row r="37" spans="1:15" ht="12.75">
      <c r="A37" s="236"/>
      <c r="B37" s="208" t="s">
        <v>51</v>
      </c>
      <c r="C37" s="216">
        <v>1.34</v>
      </c>
      <c r="D37" s="194">
        <v>1.34</v>
      </c>
      <c r="E37" s="194">
        <v>0.67</v>
      </c>
      <c r="F37" s="194">
        <v>0.67</v>
      </c>
      <c r="G37" s="194">
        <v>2.68</v>
      </c>
      <c r="H37" s="194">
        <v>2.0100000000000002</v>
      </c>
      <c r="I37" s="194">
        <v>2.68</v>
      </c>
      <c r="J37" s="194">
        <v>4.0200000000000005</v>
      </c>
      <c r="K37" s="194">
        <v>1.34</v>
      </c>
      <c r="L37" s="194">
        <v>1.34</v>
      </c>
      <c r="M37" s="194">
        <v>2.0100000000000002</v>
      </c>
      <c r="N37" s="194">
        <v>1.34</v>
      </c>
      <c r="O37" s="217">
        <v>21.44</v>
      </c>
    </row>
    <row r="38" spans="1:15" ht="12.75">
      <c r="A38" s="236"/>
      <c r="B38" s="208" t="s">
        <v>90</v>
      </c>
      <c r="C38" s="216">
        <v>1.38</v>
      </c>
      <c r="D38" s="194">
        <v>1.38</v>
      </c>
      <c r="E38" s="194">
        <v>0.69</v>
      </c>
      <c r="F38" s="194">
        <v>0.69</v>
      </c>
      <c r="G38" s="194">
        <v>2.76</v>
      </c>
      <c r="H38" s="194">
        <v>2.07</v>
      </c>
      <c r="I38" s="194">
        <v>2.76</v>
      </c>
      <c r="J38" s="194">
        <v>4.14</v>
      </c>
      <c r="K38" s="194">
        <v>1.38</v>
      </c>
      <c r="L38" s="194">
        <v>1.38</v>
      </c>
      <c r="M38" s="194">
        <v>2.07</v>
      </c>
      <c r="N38" s="194">
        <v>1.38</v>
      </c>
      <c r="O38" s="217">
        <v>22.079999999999995</v>
      </c>
    </row>
    <row r="39" spans="1:15" ht="12.75">
      <c r="A39" s="236"/>
      <c r="B39" s="208" t="s">
        <v>92</v>
      </c>
      <c r="C39" s="216">
        <v>0.039999999999999813</v>
      </c>
      <c r="D39" s="194">
        <v>0.039999999999999813</v>
      </c>
      <c r="E39" s="194">
        <v>0.019999999999999907</v>
      </c>
      <c r="F39" s="194">
        <v>0.019999999999999907</v>
      </c>
      <c r="G39" s="194">
        <v>0.07999999999999963</v>
      </c>
      <c r="H39" s="194">
        <v>0.05999999999999961</v>
      </c>
      <c r="I39" s="194">
        <v>0.07999999999999963</v>
      </c>
      <c r="J39" s="194">
        <v>0.11999999999999922</v>
      </c>
      <c r="K39" s="194">
        <v>0.039999999999999813</v>
      </c>
      <c r="L39" s="194">
        <v>0.039999999999999813</v>
      </c>
      <c r="M39" s="194">
        <v>0.05999999999999961</v>
      </c>
      <c r="N39" s="194">
        <v>0.039999999999999813</v>
      </c>
      <c r="O39" s="217">
        <v>0.6399999999999966</v>
      </c>
    </row>
    <row r="40" spans="1:15" ht="12.75">
      <c r="A40" s="201" t="s">
        <v>19</v>
      </c>
      <c r="B40" s="201" t="s">
        <v>72</v>
      </c>
      <c r="C40" s="210">
        <v>21.21</v>
      </c>
      <c r="D40" s="211">
        <v>12.120000000000001</v>
      </c>
      <c r="E40" s="211">
        <v>22.22</v>
      </c>
      <c r="F40" s="211">
        <v>15.15</v>
      </c>
      <c r="G40" s="211">
        <v>23.23</v>
      </c>
      <c r="H40" s="211">
        <v>19.19</v>
      </c>
      <c r="I40" s="211">
        <v>19.19</v>
      </c>
      <c r="J40" s="211">
        <v>18.18</v>
      </c>
      <c r="K40" s="211">
        <v>13.13</v>
      </c>
      <c r="L40" s="211">
        <v>15.15</v>
      </c>
      <c r="M40" s="211">
        <v>22.22</v>
      </c>
      <c r="N40" s="211">
        <v>20.2</v>
      </c>
      <c r="O40" s="212">
        <v>221.19</v>
      </c>
    </row>
    <row r="41" spans="1:15" ht="12.75">
      <c r="A41" s="236"/>
      <c r="B41" s="208" t="s">
        <v>25</v>
      </c>
      <c r="C41" s="213">
        <v>7.140000000000001</v>
      </c>
      <c r="D41" s="214">
        <v>4.08</v>
      </c>
      <c r="E41" s="214">
        <v>7.479999999999999</v>
      </c>
      <c r="F41" s="214">
        <v>5.1</v>
      </c>
      <c r="G41" s="214">
        <v>7.82</v>
      </c>
      <c r="H41" s="214">
        <v>6.460000000000001</v>
      </c>
      <c r="I41" s="214">
        <v>6.460000000000001</v>
      </c>
      <c r="J41" s="214">
        <v>6.119999999999999</v>
      </c>
      <c r="K41" s="214">
        <v>4.42</v>
      </c>
      <c r="L41" s="214">
        <v>5.1</v>
      </c>
      <c r="M41" s="214">
        <v>7.479999999999999</v>
      </c>
      <c r="N41" s="214">
        <v>6.799999999999999</v>
      </c>
      <c r="O41" s="215">
        <v>74.46</v>
      </c>
    </row>
    <row r="42" spans="1:15" ht="12.75">
      <c r="A42" s="236"/>
      <c r="B42" s="208" t="s">
        <v>26</v>
      </c>
      <c r="C42" s="213">
        <v>-0.34959685142851393</v>
      </c>
      <c r="D42" s="214">
        <v>-0.19976962938772225</v>
      </c>
      <c r="E42" s="214">
        <v>-0.36624432054415745</v>
      </c>
      <c r="F42" s="214">
        <v>-0.24971203673465284</v>
      </c>
      <c r="G42" s="214">
        <v>-0.382891789659801</v>
      </c>
      <c r="H42" s="214">
        <v>-0.3163019131972269</v>
      </c>
      <c r="I42" s="214">
        <v>-0.3163019131972269</v>
      </c>
      <c r="J42" s="214">
        <v>-0.29965444408158337</v>
      </c>
      <c r="K42" s="214">
        <v>-0.2164170985033658</v>
      </c>
      <c r="L42" s="214">
        <v>-0.24971203673465284</v>
      </c>
      <c r="M42" s="214">
        <v>-0.36624432054415745</v>
      </c>
      <c r="N42" s="214">
        <v>-0.3329493823128704</v>
      </c>
      <c r="O42" s="215">
        <v>-3.645795736325931</v>
      </c>
    </row>
    <row r="43" spans="1:15" ht="12.75">
      <c r="A43" s="236"/>
      <c r="B43" s="208" t="s">
        <v>27</v>
      </c>
      <c r="C43" s="213">
        <v>6.370403148571489</v>
      </c>
      <c r="D43" s="214">
        <v>3.6402303706122794</v>
      </c>
      <c r="E43" s="214">
        <v>6.673755679455842</v>
      </c>
      <c r="F43" s="214">
        <v>4.5502879632653475</v>
      </c>
      <c r="G43" s="214">
        <v>6.9771082103402</v>
      </c>
      <c r="H43" s="214">
        <v>5.7636980868027745</v>
      </c>
      <c r="I43" s="214">
        <v>5.7636980868027745</v>
      </c>
      <c r="J43" s="214">
        <v>5.460345555918418</v>
      </c>
      <c r="K43" s="214">
        <v>3.9435829014966357</v>
      </c>
      <c r="L43" s="214">
        <v>4.5502879632653475</v>
      </c>
      <c r="M43" s="214">
        <v>6.673755679455842</v>
      </c>
      <c r="N43" s="214">
        <v>6.06705061768713</v>
      </c>
      <c r="O43" s="215">
        <v>66.43420426367408</v>
      </c>
    </row>
    <row r="44" spans="1:15" ht="12.75">
      <c r="A44" s="236"/>
      <c r="B44" s="208" t="s">
        <v>51</v>
      </c>
      <c r="C44" s="216">
        <v>14.07</v>
      </c>
      <c r="D44" s="194">
        <v>8.040000000000001</v>
      </c>
      <c r="E44" s="194">
        <v>14.74</v>
      </c>
      <c r="F44" s="194">
        <v>10.05</v>
      </c>
      <c r="G44" s="194">
        <v>15.41</v>
      </c>
      <c r="H44" s="194">
        <v>12.73</v>
      </c>
      <c r="I44" s="194">
        <v>12.73</v>
      </c>
      <c r="J44" s="194">
        <v>12.06</v>
      </c>
      <c r="K44" s="194">
        <v>8.71</v>
      </c>
      <c r="L44" s="194">
        <v>10.05</v>
      </c>
      <c r="M44" s="194">
        <v>14.74</v>
      </c>
      <c r="N44" s="194">
        <v>13.4</v>
      </c>
      <c r="O44" s="217">
        <v>146.73000000000002</v>
      </c>
    </row>
    <row r="45" spans="1:15" ht="12.75">
      <c r="A45" s="236"/>
      <c r="B45" s="208" t="s">
        <v>90</v>
      </c>
      <c r="C45" s="216">
        <v>14.489999999999998</v>
      </c>
      <c r="D45" s="194">
        <v>8.28</v>
      </c>
      <c r="E45" s="194">
        <v>15.18</v>
      </c>
      <c r="F45" s="194">
        <v>10.35</v>
      </c>
      <c r="G45" s="194">
        <v>15.87</v>
      </c>
      <c r="H45" s="194">
        <v>13.11</v>
      </c>
      <c r="I45" s="194">
        <v>13.11</v>
      </c>
      <c r="J45" s="194">
        <v>12.419999999999998</v>
      </c>
      <c r="K45" s="194">
        <v>8.969999999999999</v>
      </c>
      <c r="L45" s="194">
        <v>10.35</v>
      </c>
      <c r="M45" s="194">
        <v>15.18</v>
      </c>
      <c r="N45" s="194">
        <v>13.799999999999999</v>
      </c>
      <c r="O45" s="217">
        <v>151.11</v>
      </c>
    </row>
    <row r="46" spans="1:15" ht="12.75">
      <c r="A46" s="236"/>
      <c r="B46" s="208" t="s">
        <v>92</v>
      </c>
      <c r="C46" s="216">
        <v>0.41999999999999815</v>
      </c>
      <c r="D46" s="194">
        <v>0.23999999999999844</v>
      </c>
      <c r="E46" s="194">
        <v>0.4399999999999995</v>
      </c>
      <c r="F46" s="194">
        <v>0.29999999999999893</v>
      </c>
      <c r="G46" s="194">
        <v>0.4599999999999991</v>
      </c>
      <c r="H46" s="194">
        <v>0.379999999999999</v>
      </c>
      <c r="I46" s="194">
        <v>0.379999999999999</v>
      </c>
      <c r="J46" s="194">
        <v>0.35999999999999766</v>
      </c>
      <c r="K46" s="194">
        <v>0.259999999999998</v>
      </c>
      <c r="L46" s="194">
        <v>0.29999999999999893</v>
      </c>
      <c r="M46" s="194">
        <v>0.4399999999999995</v>
      </c>
      <c r="N46" s="194">
        <v>0.3999999999999986</v>
      </c>
      <c r="O46" s="217">
        <v>4.379999999999985</v>
      </c>
    </row>
    <row r="47" spans="1:15" ht="12.75">
      <c r="A47" s="201" t="s">
        <v>8</v>
      </c>
      <c r="B47" s="201" t="s">
        <v>72</v>
      </c>
      <c r="C47" s="210">
        <v>99.99</v>
      </c>
      <c r="D47" s="211">
        <v>84.84</v>
      </c>
      <c r="E47" s="211">
        <v>68.68</v>
      </c>
      <c r="F47" s="211">
        <v>74.74</v>
      </c>
      <c r="G47" s="211">
        <v>139.38</v>
      </c>
      <c r="H47" s="211">
        <v>150.49</v>
      </c>
      <c r="I47" s="211">
        <v>161.6</v>
      </c>
      <c r="J47" s="211">
        <v>144.43</v>
      </c>
      <c r="K47" s="211">
        <v>131.3</v>
      </c>
      <c r="L47" s="211">
        <v>118.17</v>
      </c>
      <c r="M47" s="211">
        <v>74.74</v>
      </c>
      <c r="N47" s="211">
        <v>76.76</v>
      </c>
      <c r="O47" s="212">
        <v>1325.1200000000001</v>
      </c>
    </row>
    <row r="48" spans="1:15" ht="12.75">
      <c r="A48" s="236"/>
      <c r="B48" s="208" t="s">
        <v>25</v>
      </c>
      <c r="C48" s="213">
        <v>33.66</v>
      </c>
      <c r="D48" s="214">
        <v>28.560000000000002</v>
      </c>
      <c r="E48" s="214">
        <v>23.120000000000005</v>
      </c>
      <c r="F48" s="214">
        <v>25.15999999999999</v>
      </c>
      <c r="G48" s="214">
        <v>46.91999999999999</v>
      </c>
      <c r="H48" s="214">
        <v>50.66</v>
      </c>
      <c r="I48" s="214">
        <v>54.39999999999999</v>
      </c>
      <c r="J48" s="214">
        <v>48.620000000000005</v>
      </c>
      <c r="K48" s="214">
        <v>44.2</v>
      </c>
      <c r="L48" s="214">
        <v>39.78</v>
      </c>
      <c r="M48" s="214">
        <v>25.15999999999999</v>
      </c>
      <c r="N48" s="214">
        <v>25.840000000000003</v>
      </c>
      <c r="O48" s="215">
        <v>446.0799999999999</v>
      </c>
    </row>
    <row r="49" spans="1:15" ht="12.75">
      <c r="A49" s="236"/>
      <c r="B49" s="208" t="s">
        <v>26</v>
      </c>
      <c r="C49" s="213">
        <v>-1.6480994424487085</v>
      </c>
      <c r="D49" s="214">
        <v>-1.3983874057140557</v>
      </c>
      <c r="E49" s="214">
        <v>-1.1320278998637594</v>
      </c>
      <c r="F49" s="214">
        <v>-1.2319127145576205</v>
      </c>
      <c r="G49" s="214">
        <v>-2.297350737958806</v>
      </c>
      <c r="H49" s="214">
        <v>-2.480472898230885</v>
      </c>
      <c r="I49" s="214">
        <v>-2.6635950585029633</v>
      </c>
      <c r="J49" s="214">
        <v>-2.3805880835370234</v>
      </c>
      <c r="K49" s="214">
        <v>-2.1641709850336577</v>
      </c>
      <c r="L49" s="214">
        <v>-1.947753886530292</v>
      </c>
      <c r="M49" s="214">
        <v>-1.2319127145576205</v>
      </c>
      <c r="N49" s="214">
        <v>-1.2652076527889076</v>
      </c>
      <c r="O49" s="215">
        <v>-21.8414794797243</v>
      </c>
    </row>
    <row r="50" spans="1:15" ht="12.75">
      <c r="A50" s="236"/>
      <c r="B50" s="208" t="s">
        <v>27</v>
      </c>
      <c r="C50" s="213">
        <v>30.031900557551296</v>
      </c>
      <c r="D50" s="214">
        <v>25.481612594285956</v>
      </c>
      <c r="E50" s="214">
        <v>20.627972100136255</v>
      </c>
      <c r="F50" s="214">
        <v>22.44808728544238</v>
      </c>
      <c r="G50" s="214">
        <v>41.86264926204119</v>
      </c>
      <c r="H50" s="214">
        <v>45.199527101769135</v>
      </c>
      <c r="I50" s="214">
        <v>48.53640494149704</v>
      </c>
      <c r="J50" s="214">
        <v>43.379411916463</v>
      </c>
      <c r="K50" s="214">
        <v>39.435829014966366</v>
      </c>
      <c r="L50" s="214">
        <v>35.49224611346972</v>
      </c>
      <c r="M50" s="214">
        <v>22.44808728544238</v>
      </c>
      <c r="N50" s="214">
        <v>23.054792347211098</v>
      </c>
      <c r="O50" s="215">
        <v>397.9985205202758</v>
      </c>
    </row>
    <row r="51" spans="1:15" ht="12.75">
      <c r="A51" s="236"/>
      <c r="B51" s="208" t="s">
        <v>51</v>
      </c>
      <c r="C51" s="216">
        <v>66.33</v>
      </c>
      <c r="D51" s="194">
        <v>56.28</v>
      </c>
      <c r="E51" s="194">
        <v>45.56</v>
      </c>
      <c r="F51" s="194">
        <v>49.580000000000005</v>
      </c>
      <c r="G51" s="194">
        <v>92.46000000000001</v>
      </c>
      <c r="H51" s="194">
        <v>99.83000000000001</v>
      </c>
      <c r="I51" s="194">
        <v>107.2</v>
      </c>
      <c r="J51" s="194">
        <v>95.81</v>
      </c>
      <c r="K51" s="194">
        <v>87.10000000000001</v>
      </c>
      <c r="L51" s="194">
        <v>78.39</v>
      </c>
      <c r="M51" s="194">
        <v>49.580000000000005</v>
      </c>
      <c r="N51" s="194">
        <v>50.92</v>
      </c>
      <c r="O51" s="217">
        <v>879.0400000000002</v>
      </c>
    </row>
    <row r="52" spans="1:15" ht="12.75">
      <c r="A52" s="236"/>
      <c r="B52" s="208" t="s">
        <v>90</v>
      </c>
      <c r="C52" s="216">
        <v>68.30999999999999</v>
      </c>
      <c r="D52" s="194">
        <v>57.959999999999994</v>
      </c>
      <c r="E52" s="194">
        <v>46.919999999999995</v>
      </c>
      <c r="F52" s="194">
        <v>51.059999999999995</v>
      </c>
      <c r="G52" s="194">
        <v>95.22</v>
      </c>
      <c r="H52" s="194">
        <v>102.80999999999999</v>
      </c>
      <c r="I52" s="194">
        <v>110.39999999999999</v>
      </c>
      <c r="J52" s="194">
        <v>98.66999999999999</v>
      </c>
      <c r="K52" s="194">
        <v>89.69999999999999</v>
      </c>
      <c r="L52" s="194">
        <v>80.72999999999999</v>
      </c>
      <c r="M52" s="194">
        <v>51.059999999999995</v>
      </c>
      <c r="N52" s="194">
        <v>52.44</v>
      </c>
      <c r="O52" s="217">
        <v>905.28</v>
      </c>
    </row>
    <row r="53" spans="1:15" ht="12.75">
      <c r="A53" s="236"/>
      <c r="B53" s="208" t="s">
        <v>92</v>
      </c>
      <c r="C53" s="216">
        <v>1.9799999999999898</v>
      </c>
      <c r="D53" s="194">
        <v>1.6799999999999926</v>
      </c>
      <c r="E53" s="194">
        <v>1.3599999999999923</v>
      </c>
      <c r="F53" s="194">
        <v>1.4799999999999898</v>
      </c>
      <c r="G53" s="194">
        <v>2.759999999999991</v>
      </c>
      <c r="H53" s="194">
        <v>2.9799999999999756</v>
      </c>
      <c r="I53" s="194">
        <v>3.1999999999999886</v>
      </c>
      <c r="J53" s="194">
        <v>2.859999999999985</v>
      </c>
      <c r="K53" s="194">
        <v>2.59999999999998</v>
      </c>
      <c r="L53" s="194">
        <v>2.339999999999989</v>
      </c>
      <c r="M53" s="194">
        <v>1.4799999999999898</v>
      </c>
      <c r="N53" s="194">
        <v>1.519999999999996</v>
      </c>
      <c r="O53" s="217">
        <v>26.23999999999986</v>
      </c>
    </row>
    <row r="54" spans="1:15" ht="12.75">
      <c r="A54" s="201" t="s">
        <v>21</v>
      </c>
      <c r="B54" s="201" t="s">
        <v>72</v>
      </c>
      <c r="C54" s="210">
        <v>3210.79</v>
      </c>
      <c r="D54" s="211">
        <v>2817.9</v>
      </c>
      <c r="E54" s="211">
        <v>2291.69</v>
      </c>
      <c r="F54" s="211">
        <v>2400.77</v>
      </c>
      <c r="G54" s="211">
        <v>3632.9700000000003</v>
      </c>
      <c r="H54" s="211">
        <v>3950.11</v>
      </c>
      <c r="I54" s="211">
        <v>4135.95</v>
      </c>
      <c r="J54" s="211">
        <v>3854.16</v>
      </c>
      <c r="K54" s="211">
        <v>3772.35</v>
      </c>
      <c r="L54" s="211">
        <v>3390.57</v>
      </c>
      <c r="M54" s="211">
        <v>2589.64</v>
      </c>
      <c r="N54" s="211">
        <v>2603.78</v>
      </c>
      <c r="O54" s="212">
        <v>38650.68</v>
      </c>
    </row>
    <row r="55" spans="1:15" ht="12.75">
      <c r="A55" s="236"/>
      <c r="B55" s="208" t="s">
        <v>25</v>
      </c>
      <c r="C55" s="213">
        <v>1080.8599999999997</v>
      </c>
      <c r="D55" s="214">
        <v>948.5999999999999</v>
      </c>
      <c r="E55" s="214">
        <v>771.46</v>
      </c>
      <c r="F55" s="214">
        <v>808.1799999999998</v>
      </c>
      <c r="G55" s="214">
        <v>1222.98</v>
      </c>
      <c r="H55" s="214">
        <v>1329.7399999999998</v>
      </c>
      <c r="I55" s="214">
        <v>1392.2999999999997</v>
      </c>
      <c r="J55" s="214">
        <v>1297.4399999999996</v>
      </c>
      <c r="K55" s="214">
        <v>1269.8999999999996</v>
      </c>
      <c r="L55" s="214">
        <v>1141.38</v>
      </c>
      <c r="M55" s="214">
        <v>871.7599999999998</v>
      </c>
      <c r="N55" s="214">
        <v>876.5200000000002</v>
      </c>
      <c r="O55" s="215">
        <v>13011.119999999997</v>
      </c>
    </row>
    <row r="56" spans="1:15" ht="12.75">
      <c r="A56" s="236"/>
      <c r="B56" s="208" t="s">
        <v>26</v>
      </c>
      <c r="C56" s="213">
        <v>-52.92230431863075</v>
      </c>
      <c r="D56" s="214">
        <v>-46.44643883264542</v>
      </c>
      <c r="E56" s="214">
        <v>-37.773107423395146</v>
      </c>
      <c r="F56" s="214">
        <v>-39.57103408788465</v>
      </c>
      <c r="G56" s="214">
        <v>-59.88094640896974</v>
      </c>
      <c r="H56" s="214">
        <v>-65.10825171128181</v>
      </c>
      <c r="I56" s="214">
        <v>-68.17138602856022</v>
      </c>
      <c r="J56" s="214">
        <v>-63.52674214529567</v>
      </c>
      <c r="K56" s="214">
        <v>-62.17829714692855</v>
      </c>
      <c r="L56" s="214">
        <v>-55.8855538212153</v>
      </c>
      <c r="M56" s="214">
        <v>-42.684110812509985</v>
      </c>
      <c r="N56" s="214">
        <v>-42.917175380129</v>
      </c>
      <c r="O56" s="215">
        <v>-637.0653481174463</v>
      </c>
    </row>
    <row r="57" spans="1:15" ht="12.75">
      <c r="A57" s="236"/>
      <c r="B57" s="208" t="s">
        <v>27</v>
      </c>
      <c r="C57" s="213">
        <v>964.3576956813695</v>
      </c>
      <c r="D57" s="214">
        <v>846.3535611673548</v>
      </c>
      <c r="E57" s="214">
        <v>688.306892576605</v>
      </c>
      <c r="F57" s="214">
        <v>721.0689659121155</v>
      </c>
      <c r="G57" s="214">
        <v>1091.1590535910307</v>
      </c>
      <c r="H57" s="214">
        <v>1186.4117482887186</v>
      </c>
      <c r="I57" s="214">
        <v>1242.22861397144</v>
      </c>
      <c r="J57" s="214">
        <v>1157.5932578547042</v>
      </c>
      <c r="K57" s="214">
        <v>1133.0217028530717</v>
      </c>
      <c r="L57" s="214">
        <v>1018.3544461787849</v>
      </c>
      <c r="M57" s="214">
        <v>777.79588918749</v>
      </c>
      <c r="N57" s="214">
        <v>782.0428246198712</v>
      </c>
      <c r="O57" s="215">
        <v>11608.694651882555</v>
      </c>
    </row>
    <row r="58" spans="1:15" ht="12.75">
      <c r="A58" s="236"/>
      <c r="B58" s="208" t="s">
        <v>51</v>
      </c>
      <c r="C58" s="216">
        <v>2129.9300000000003</v>
      </c>
      <c r="D58" s="194">
        <v>1869.3000000000002</v>
      </c>
      <c r="E58" s="194">
        <v>1520.23</v>
      </c>
      <c r="F58" s="194">
        <v>1592.5900000000001</v>
      </c>
      <c r="G58" s="194">
        <v>2409.9900000000002</v>
      </c>
      <c r="H58" s="194">
        <v>2620.3700000000003</v>
      </c>
      <c r="I58" s="194">
        <v>2743.65</v>
      </c>
      <c r="J58" s="194">
        <v>2556.7200000000003</v>
      </c>
      <c r="K58" s="194">
        <v>2502.4500000000003</v>
      </c>
      <c r="L58" s="194">
        <v>2249.19</v>
      </c>
      <c r="M58" s="194">
        <v>1717.88</v>
      </c>
      <c r="N58" s="194">
        <v>1727.26</v>
      </c>
      <c r="O58" s="217">
        <v>25639.56</v>
      </c>
    </row>
    <row r="59" spans="1:15" ht="12.75">
      <c r="A59" s="236"/>
      <c r="B59" s="208" t="s">
        <v>90</v>
      </c>
      <c r="C59" s="216">
        <v>2193.5099999999998</v>
      </c>
      <c r="D59" s="194">
        <v>1925.1</v>
      </c>
      <c r="E59" s="194">
        <v>1565.61</v>
      </c>
      <c r="F59" s="194">
        <v>1640.1299999999999</v>
      </c>
      <c r="G59" s="194">
        <v>2481.93</v>
      </c>
      <c r="H59" s="194">
        <v>2698.5899999999997</v>
      </c>
      <c r="I59" s="194">
        <v>2825.5499999999997</v>
      </c>
      <c r="J59" s="194">
        <v>2633.04</v>
      </c>
      <c r="K59" s="194">
        <v>2577.1499999999996</v>
      </c>
      <c r="L59" s="194">
        <v>2316.33</v>
      </c>
      <c r="M59" s="194">
        <v>1769.1599999999999</v>
      </c>
      <c r="N59" s="194">
        <v>1778.82</v>
      </c>
      <c r="O59" s="217">
        <v>26404.920000000002</v>
      </c>
    </row>
    <row r="60" spans="1:15" ht="12.75">
      <c r="A60" s="236"/>
      <c r="B60" s="208" t="s">
        <v>92</v>
      </c>
      <c r="C60" s="216">
        <v>63.57999999999947</v>
      </c>
      <c r="D60" s="194">
        <v>55.79999999999973</v>
      </c>
      <c r="E60" s="194">
        <v>45.37999999999988</v>
      </c>
      <c r="F60" s="194">
        <v>47.539999999999736</v>
      </c>
      <c r="G60" s="194">
        <v>71.9399999999996</v>
      </c>
      <c r="H60" s="194">
        <v>78.21999999999935</v>
      </c>
      <c r="I60" s="194">
        <v>81.89999999999964</v>
      </c>
      <c r="J60" s="194">
        <v>76.31999999999971</v>
      </c>
      <c r="K60" s="194">
        <v>74.69999999999936</v>
      </c>
      <c r="L60" s="194">
        <v>67.13999999999987</v>
      </c>
      <c r="M60" s="194">
        <v>51.279999999999745</v>
      </c>
      <c r="N60" s="194">
        <v>51.559999999999945</v>
      </c>
      <c r="O60" s="217">
        <v>765.359999999996</v>
      </c>
    </row>
    <row r="61" spans="1:15" ht="12.75">
      <c r="A61" s="201" t="s">
        <v>22</v>
      </c>
      <c r="B61" s="201" t="s">
        <v>72</v>
      </c>
      <c r="C61" s="210">
        <v>3444.1</v>
      </c>
      <c r="D61" s="211">
        <v>2819.92</v>
      </c>
      <c r="E61" s="211">
        <v>2351.28</v>
      </c>
      <c r="F61" s="211">
        <v>2335.12</v>
      </c>
      <c r="G61" s="211">
        <v>3403.7</v>
      </c>
      <c r="H61" s="211">
        <v>3598.63</v>
      </c>
      <c r="I61" s="211">
        <v>3722.86</v>
      </c>
      <c r="J61" s="211">
        <v>3497.63</v>
      </c>
      <c r="K61" s="211">
        <v>3490.56</v>
      </c>
      <c r="L61" s="211">
        <v>3186.55</v>
      </c>
      <c r="M61" s="211">
        <v>2937.08</v>
      </c>
      <c r="N61" s="211">
        <v>2900.72</v>
      </c>
      <c r="O61" s="212">
        <v>37688.15000000001</v>
      </c>
    </row>
    <row r="62" spans="1:15" ht="12.75">
      <c r="A62" s="236"/>
      <c r="B62" s="208" t="s">
        <v>25</v>
      </c>
      <c r="C62" s="213">
        <v>1159.3999999999996</v>
      </c>
      <c r="D62" s="214">
        <v>949.28</v>
      </c>
      <c r="E62" s="214">
        <v>791.5200000000002</v>
      </c>
      <c r="F62" s="214">
        <v>786.0799999999997</v>
      </c>
      <c r="G62" s="214">
        <v>1145.7999999999997</v>
      </c>
      <c r="H62" s="214">
        <v>1211.42</v>
      </c>
      <c r="I62" s="214">
        <v>1253.2399999999998</v>
      </c>
      <c r="J62" s="214">
        <v>1177.42</v>
      </c>
      <c r="K62" s="214">
        <v>1175.04</v>
      </c>
      <c r="L62" s="214">
        <v>1072.7000000000003</v>
      </c>
      <c r="M62" s="214">
        <v>988.7199999999998</v>
      </c>
      <c r="N62" s="214">
        <v>976.4799999999998</v>
      </c>
      <c r="O62" s="215">
        <v>12687.1</v>
      </c>
    </row>
    <row r="63" spans="1:15" ht="12.75">
      <c r="A63" s="236"/>
      <c r="B63" s="208" t="s">
        <v>26</v>
      </c>
      <c r="C63" s="213">
        <v>-56.76786968434441</v>
      </c>
      <c r="D63" s="214">
        <v>-46.479733770876706</v>
      </c>
      <c r="E63" s="214">
        <v>-38.75530810121812</v>
      </c>
      <c r="F63" s="214">
        <v>-38.488948595367816</v>
      </c>
      <c r="G63" s="214">
        <v>-56.10197091971867</v>
      </c>
      <c r="H63" s="214">
        <v>-59.31493245903786</v>
      </c>
      <c r="I63" s="214">
        <v>-61.36257116026202</v>
      </c>
      <c r="J63" s="214">
        <v>-57.65018554747352</v>
      </c>
      <c r="K63" s="214">
        <v>-57.533653263664014</v>
      </c>
      <c r="L63" s="214">
        <v>-52.52276505985531</v>
      </c>
      <c r="M63" s="214">
        <v>-48.41084018829136</v>
      </c>
      <c r="N63" s="214">
        <v>-47.811531300128195</v>
      </c>
      <c r="O63" s="215">
        <v>-621.2003100502379</v>
      </c>
    </row>
    <row r="64" spans="1:15" ht="12.75">
      <c r="A64" s="236"/>
      <c r="B64" s="208" t="s">
        <v>27</v>
      </c>
      <c r="C64" s="213">
        <v>1034.432130315656</v>
      </c>
      <c r="D64" s="214">
        <v>846.9602662291236</v>
      </c>
      <c r="E64" s="214">
        <v>706.2046918987821</v>
      </c>
      <c r="F64" s="214">
        <v>701.3510514046321</v>
      </c>
      <c r="G64" s="214">
        <v>1022.2980290802814</v>
      </c>
      <c r="H64" s="214">
        <v>1080.8450675409624</v>
      </c>
      <c r="I64" s="214">
        <v>1118.1574288397385</v>
      </c>
      <c r="J64" s="214">
        <v>1050.5098144525268</v>
      </c>
      <c r="K64" s="214">
        <v>1048.386346736336</v>
      </c>
      <c r="L64" s="214">
        <v>957.0772349401451</v>
      </c>
      <c r="M64" s="214">
        <v>882.1491598117088</v>
      </c>
      <c r="N64" s="214">
        <v>871.2284686998718</v>
      </c>
      <c r="O64" s="215">
        <v>11319.599689949764</v>
      </c>
    </row>
    <row r="65" spans="1:15" ht="12.75">
      <c r="A65" s="236"/>
      <c r="B65" s="208" t="s">
        <v>51</v>
      </c>
      <c r="C65" s="216">
        <v>2284.7000000000003</v>
      </c>
      <c r="D65" s="194">
        <v>1870.64</v>
      </c>
      <c r="E65" s="194">
        <v>1559.76</v>
      </c>
      <c r="F65" s="194">
        <v>1549.0400000000002</v>
      </c>
      <c r="G65" s="194">
        <v>2257.9</v>
      </c>
      <c r="H65" s="194">
        <v>2387.21</v>
      </c>
      <c r="I65" s="194">
        <v>2469.6200000000003</v>
      </c>
      <c r="J65" s="194">
        <v>2320.21</v>
      </c>
      <c r="K65" s="194">
        <v>2315.52</v>
      </c>
      <c r="L65" s="194">
        <v>2113.85</v>
      </c>
      <c r="M65" s="194">
        <v>1948.3600000000001</v>
      </c>
      <c r="N65" s="194">
        <v>1924.24</v>
      </c>
      <c r="O65" s="217">
        <v>25001.050000000003</v>
      </c>
    </row>
    <row r="66" spans="1:15" ht="12.75">
      <c r="A66" s="236"/>
      <c r="B66" s="208" t="s">
        <v>90</v>
      </c>
      <c r="C66" s="216">
        <v>2352.8999999999996</v>
      </c>
      <c r="D66" s="194">
        <v>1926.4799999999998</v>
      </c>
      <c r="E66" s="194">
        <v>1606.32</v>
      </c>
      <c r="F66" s="194">
        <v>1595.28</v>
      </c>
      <c r="G66" s="194">
        <v>2325.2999999999997</v>
      </c>
      <c r="H66" s="194">
        <v>2458.47</v>
      </c>
      <c r="I66" s="194">
        <v>2543.3399999999997</v>
      </c>
      <c r="J66" s="194">
        <v>2389.47</v>
      </c>
      <c r="K66" s="194">
        <v>2384.64</v>
      </c>
      <c r="L66" s="194">
        <v>2176.95</v>
      </c>
      <c r="M66" s="194">
        <v>2006.5199999999998</v>
      </c>
      <c r="N66" s="194">
        <v>1981.6799999999998</v>
      </c>
      <c r="O66" s="217">
        <v>25747.35</v>
      </c>
    </row>
    <row r="67" spans="1:15" ht="12.75">
      <c r="A67" s="236"/>
      <c r="B67" s="208" t="s">
        <v>92</v>
      </c>
      <c r="C67" s="216">
        <v>68.19999999999936</v>
      </c>
      <c r="D67" s="194">
        <v>55.83999999999969</v>
      </c>
      <c r="E67" s="194">
        <v>46.559999999999945</v>
      </c>
      <c r="F67" s="194">
        <v>46.23999999999978</v>
      </c>
      <c r="G67" s="194">
        <v>67.39999999999964</v>
      </c>
      <c r="H67" s="194">
        <v>71.25999999999976</v>
      </c>
      <c r="I67" s="194">
        <v>73.71999999999935</v>
      </c>
      <c r="J67" s="194">
        <v>69.25999999999976</v>
      </c>
      <c r="K67" s="194">
        <v>69.11999999999989</v>
      </c>
      <c r="L67" s="194">
        <v>63.09999999999991</v>
      </c>
      <c r="M67" s="194">
        <v>58.15999999999963</v>
      </c>
      <c r="N67" s="194">
        <v>57.43999999999983</v>
      </c>
      <c r="O67" s="217">
        <v>746.2999999999965</v>
      </c>
    </row>
    <row r="68" spans="1:15" ht="12.75">
      <c r="A68" s="201" t="s">
        <v>9</v>
      </c>
      <c r="B68" s="201" t="s">
        <v>72</v>
      </c>
      <c r="C68" s="210">
        <v>47.47</v>
      </c>
      <c r="D68" s="211">
        <v>41.410000000000004</v>
      </c>
      <c r="E68" s="211">
        <v>34.34</v>
      </c>
      <c r="F68" s="211">
        <v>23.23</v>
      </c>
      <c r="G68" s="211">
        <v>36.36</v>
      </c>
      <c r="H68" s="211">
        <v>38.38</v>
      </c>
      <c r="I68" s="211">
        <v>42.42</v>
      </c>
      <c r="J68" s="211">
        <v>37.37</v>
      </c>
      <c r="K68" s="211">
        <v>36.36</v>
      </c>
      <c r="L68" s="211">
        <v>33.33</v>
      </c>
      <c r="M68" s="211">
        <v>36.36</v>
      </c>
      <c r="N68" s="211">
        <v>38.38</v>
      </c>
      <c r="O68" s="212">
        <v>445.41</v>
      </c>
    </row>
    <row r="69" spans="1:15" ht="12.75">
      <c r="A69" s="236"/>
      <c r="B69" s="208" t="s">
        <v>25</v>
      </c>
      <c r="C69" s="213">
        <v>15.979999999999997</v>
      </c>
      <c r="D69" s="214">
        <v>13.940000000000001</v>
      </c>
      <c r="E69" s="214">
        <v>11.560000000000002</v>
      </c>
      <c r="F69" s="214">
        <v>7.82</v>
      </c>
      <c r="G69" s="214">
        <v>12.239999999999998</v>
      </c>
      <c r="H69" s="214">
        <v>12.920000000000002</v>
      </c>
      <c r="I69" s="214">
        <v>14.280000000000001</v>
      </c>
      <c r="J69" s="214">
        <v>12.579999999999995</v>
      </c>
      <c r="K69" s="214">
        <v>12.239999999999998</v>
      </c>
      <c r="L69" s="214">
        <v>11.219999999999995</v>
      </c>
      <c r="M69" s="214">
        <v>12.239999999999998</v>
      </c>
      <c r="N69" s="214">
        <v>12.920000000000002</v>
      </c>
      <c r="O69" s="215">
        <v>149.94</v>
      </c>
    </row>
    <row r="70" spans="1:15" ht="12.75">
      <c r="A70" s="236"/>
      <c r="B70" s="208" t="s">
        <v>26</v>
      </c>
      <c r="C70" s="213">
        <v>-0.7824310484352455</v>
      </c>
      <c r="D70" s="214">
        <v>-0.6825462337413843</v>
      </c>
      <c r="E70" s="214">
        <v>-0.5660139499318797</v>
      </c>
      <c r="F70" s="214">
        <v>-0.382891789659801</v>
      </c>
      <c r="G70" s="214">
        <v>-0.5993088881631667</v>
      </c>
      <c r="H70" s="214">
        <v>-0.6326038263944538</v>
      </c>
      <c r="I70" s="214">
        <v>-0.6991937028570279</v>
      </c>
      <c r="J70" s="214">
        <v>-0.6159563572788103</v>
      </c>
      <c r="K70" s="214">
        <v>-0.5993088881631667</v>
      </c>
      <c r="L70" s="214">
        <v>-0.5493664808162362</v>
      </c>
      <c r="M70" s="214">
        <v>-0.5993088881631667</v>
      </c>
      <c r="N70" s="214">
        <v>-0.6326038263944538</v>
      </c>
      <c r="O70" s="215">
        <v>-7.341533879998791</v>
      </c>
    </row>
    <row r="71" spans="1:15" ht="12.75">
      <c r="A71" s="236"/>
      <c r="B71" s="208" t="s">
        <v>27</v>
      </c>
      <c r="C71" s="213">
        <v>14.257568951564753</v>
      </c>
      <c r="D71" s="214">
        <v>12.43745376625862</v>
      </c>
      <c r="E71" s="214">
        <v>10.313986050068127</v>
      </c>
      <c r="F71" s="214">
        <v>6.9771082103402</v>
      </c>
      <c r="G71" s="214">
        <v>10.920691111836836</v>
      </c>
      <c r="H71" s="214">
        <v>11.527396173605549</v>
      </c>
      <c r="I71" s="214">
        <v>12.740806297142978</v>
      </c>
      <c r="J71" s="214">
        <v>11.22404364272119</v>
      </c>
      <c r="K71" s="214">
        <v>10.920691111836836</v>
      </c>
      <c r="L71" s="214">
        <v>10.010633519183763</v>
      </c>
      <c r="M71" s="214">
        <v>10.920691111836836</v>
      </c>
      <c r="N71" s="214">
        <v>11.527396173605549</v>
      </c>
      <c r="O71" s="215">
        <v>133.7784661200012</v>
      </c>
    </row>
    <row r="72" spans="1:15" ht="12.75">
      <c r="A72" s="236"/>
      <c r="B72" s="208" t="s">
        <v>51</v>
      </c>
      <c r="C72" s="216">
        <v>31.490000000000002</v>
      </c>
      <c r="D72" s="194">
        <v>27.470000000000002</v>
      </c>
      <c r="E72" s="194">
        <v>22.78</v>
      </c>
      <c r="F72" s="194">
        <v>15.41</v>
      </c>
      <c r="G72" s="194">
        <v>24.12</v>
      </c>
      <c r="H72" s="194">
        <v>25.46</v>
      </c>
      <c r="I72" s="194">
        <v>28.14</v>
      </c>
      <c r="J72" s="194">
        <v>24.790000000000003</v>
      </c>
      <c r="K72" s="194">
        <v>24.12</v>
      </c>
      <c r="L72" s="194">
        <v>22.110000000000003</v>
      </c>
      <c r="M72" s="194">
        <v>24.12</v>
      </c>
      <c r="N72" s="194">
        <v>25.46</v>
      </c>
      <c r="O72" s="217">
        <v>295.46999999999997</v>
      </c>
    </row>
    <row r="73" spans="1:15" ht="12.75">
      <c r="A73" s="236"/>
      <c r="B73" s="208" t="s">
        <v>90</v>
      </c>
      <c r="C73" s="216">
        <v>32.43</v>
      </c>
      <c r="D73" s="194">
        <v>28.29</v>
      </c>
      <c r="E73" s="194">
        <v>23.459999999999997</v>
      </c>
      <c r="F73" s="194">
        <v>15.87</v>
      </c>
      <c r="G73" s="194">
        <v>24.839999999999996</v>
      </c>
      <c r="H73" s="194">
        <v>26.22</v>
      </c>
      <c r="I73" s="194">
        <v>28.979999999999997</v>
      </c>
      <c r="J73" s="194">
        <v>25.529999999999998</v>
      </c>
      <c r="K73" s="194">
        <v>24.839999999999996</v>
      </c>
      <c r="L73" s="194">
        <v>22.77</v>
      </c>
      <c r="M73" s="194">
        <v>24.839999999999996</v>
      </c>
      <c r="N73" s="194">
        <v>26.22</v>
      </c>
      <c r="O73" s="217">
        <v>304.28999999999996</v>
      </c>
    </row>
    <row r="74" spans="1:15" ht="12.75">
      <c r="A74" s="236"/>
      <c r="B74" s="208" t="s">
        <v>92</v>
      </c>
      <c r="C74" s="216">
        <v>0.9399999999999977</v>
      </c>
      <c r="D74" s="194">
        <v>0.8199999999999967</v>
      </c>
      <c r="E74" s="194">
        <v>0.6799999999999962</v>
      </c>
      <c r="F74" s="194">
        <v>0.4599999999999991</v>
      </c>
      <c r="G74" s="194">
        <v>0.7199999999999953</v>
      </c>
      <c r="H74" s="194">
        <v>0.759999999999998</v>
      </c>
      <c r="I74" s="194">
        <v>0.8399999999999963</v>
      </c>
      <c r="J74" s="194">
        <v>0.7399999999999949</v>
      </c>
      <c r="K74" s="194">
        <v>0.7199999999999953</v>
      </c>
      <c r="L74" s="194">
        <v>0.6599999999999966</v>
      </c>
      <c r="M74" s="194">
        <v>0.7199999999999953</v>
      </c>
      <c r="N74" s="194">
        <v>0.759999999999998</v>
      </c>
      <c r="O74" s="217">
        <v>8.81999999999996</v>
      </c>
    </row>
    <row r="75" spans="1:15" ht="12.75">
      <c r="A75" s="201" t="s">
        <v>56</v>
      </c>
      <c r="B75" s="201" t="s">
        <v>72</v>
      </c>
      <c r="C75" s="210">
        <v>127.26</v>
      </c>
      <c r="D75" s="211">
        <v>104.03</v>
      </c>
      <c r="E75" s="211">
        <v>92.92</v>
      </c>
      <c r="F75" s="211">
        <v>86.86</v>
      </c>
      <c r="G75" s="211">
        <v>140.39000000000001</v>
      </c>
      <c r="H75" s="211">
        <v>159.58</v>
      </c>
      <c r="I75" s="211">
        <v>163.62</v>
      </c>
      <c r="J75" s="211">
        <v>145.44</v>
      </c>
      <c r="K75" s="211">
        <v>151.5</v>
      </c>
      <c r="L75" s="211">
        <v>124.23</v>
      </c>
      <c r="M75" s="211">
        <v>103.02</v>
      </c>
      <c r="N75" s="211">
        <v>104.03</v>
      </c>
      <c r="O75" s="212">
        <v>1502.88</v>
      </c>
    </row>
    <row r="76" spans="1:15" ht="12.75">
      <c r="A76" s="236"/>
      <c r="B76" s="208" t="s">
        <v>25</v>
      </c>
      <c r="C76" s="216">
        <v>42.84</v>
      </c>
      <c r="D76" s="194">
        <v>35.019999999999996</v>
      </c>
      <c r="E76" s="194">
        <v>31.28</v>
      </c>
      <c r="F76" s="194">
        <v>29.239999999999995</v>
      </c>
      <c r="G76" s="194">
        <v>47.260000000000005</v>
      </c>
      <c r="H76" s="194">
        <v>53.72000000000001</v>
      </c>
      <c r="I76" s="194">
        <v>55.08</v>
      </c>
      <c r="J76" s="194">
        <v>48.959999999999994</v>
      </c>
      <c r="K76" s="194">
        <v>51</v>
      </c>
      <c r="L76" s="194">
        <v>41.81999999999999</v>
      </c>
      <c r="M76" s="194">
        <v>34.67999999999999</v>
      </c>
      <c r="N76" s="194">
        <v>35.019999999999996</v>
      </c>
      <c r="O76" s="217">
        <v>505.91999999999996</v>
      </c>
    </row>
    <row r="77" spans="1:15" ht="12.75">
      <c r="A77" s="236"/>
      <c r="B77" s="208" t="s">
        <v>26</v>
      </c>
      <c r="C77" s="216">
        <v>-2.0975811085710836</v>
      </c>
      <c r="D77" s="194">
        <v>-1.7146893189112826</v>
      </c>
      <c r="E77" s="194">
        <v>-1.531567158639204</v>
      </c>
      <c r="F77" s="194">
        <v>-1.4316823439453428</v>
      </c>
      <c r="G77" s="194">
        <v>-2.3139982070744494</v>
      </c>
      <c r="H77" s="194">
        <v>-2.6303001202716763</v>
      </c>
      <c r="I77" s="194">
        <v>-2.6968899967342503</v>
      </c>
      <c r="J77" s="194">
        <v>-2.397235552652667</v>
      </c>
      <c r="K77" s="194">
        <v>-2.497120367346528</v>
      </c>
      <c r="L77" s="194">
        <v>-2.047638701224153</v>
      </c>
      <c r="M77" s="194">
        <v>-1.6980418497956393</v>
      </c>
      <c r="N77" s="194">
        <v>-1.7146893189112826</v>
      </c>
      <c r="O77" s="217">
        <v>-24.77143404407756</v>
      </c>
    </row>
    <row r="78" spans="1:15" ht="12.75">
      <c r="A78" s="236"/>
      <c r="B78" s="208" t="s">
        <v>27</v>
      </c>
      <c r="C78" s="216">
        <v>38.22241889142892</v>
      </c>
      <c r="D78" s="194">
        <v>31.245310681088725</v>
      </c>
      <c r="E78" s="194">
        <v>27.9084328413608</v>
      </c>
      <c r="F78" s="194">
        <v>26.08831765605466</v>
      </c>
      <c r="G78" s="194">
        <v>42.16600179292557</v>
      </c>
      <c r="H78" s="194">
        <v>47.92969987972834</v>
      </c>
      <c r="I78" s="194">
        <v>49.14311000326577</v>
      </c>
      <c r="J78" s="194">
        <v>43.682764447347346</v>
      </c>
      <c r="K78" s="194">
        <v>45.50287963265349</v>
      </c>
      <c r="L78" s="194">
        <v>37.31236129877586</v>
      </c>
      <c r="M78" s="194">
        <v>30.941958150204364</v>
      </c>
      <c r="N78" s="194">
        <v>31.245310681088725</v>
      </c>
      <c r="O78" s="217">
        <v>451.3885659559225</v>
      </c>
    </row>
    <row r="79" spans="1:15" ht="12.75">
      <c r="A79" s="236"/>
      <c r="B79" s="208" t="s">
        <v>51</v>
      </c>
      <c r="C79" s="216">
        <v>84.42</v>
      </c>
      <c r="D79" s="194">
        <v>69.01</v>
      </c>
      <c r="E79" s="194">
        <v>61.64</v>
      </c>
      <c r="F79" s="194">
        <v>57.620000000000005</v>
      </c>
      <c r="G79" s="194">
        <v>93.13000000000001</v>
      </c>
      <c r="H79" s="194">
        <v>105.86</v>
      </c>
      <c r="I79" s="194">
        <v>108.54</v>
      </c>
      <c r="J79" s="194">
        <v>96.48</v>
      </c>
      <c r="K79" s="194">
        <v>100.5</v>
      </c>
      <c r="L79" s="194">
        <v>82.41000000000001</v>
      </c>
      <c r="M79" s="194">
        <v>68.34</v>
      </c>
      <c r="N79" s="194">
        <v>69.01</v>
      </c>
      <c r="O79" s="217">
        <v>996.96</v>
      </c>
    </row>
    <row r="80" spans="1:15" ht="12.75">
      <c r="A80" s="236"/>
      <c r="B80" s="208" t="s">
        <v>90</v>
      </c>
      <c r="C80" s="216">
        <v>86.94</v>
      </c>
      <c r="D80" s="194">
        <v>71.07</v>
      </c>
      <c r="E80" s="194">
        <v>63.48</v>
      </c>
      <c r="F80" s="194">
        <v>59.339999999999996</v>
      </c>
      <c r="G80" s="194">
        <v>95.91</v>
      </c>
      <c r="H80" s="194">
        <v>109.02</v>
      </c>
      <c r="I80" s="194">
        <v>111.77999999999999</v>
      </c>
      <c r="J80" s="194">
        <v>99.35999999999999</v>
      </c>
      <c r="K80" s="194">
        <v>103.49999999999999</v>
      </c>
      <c r="L80" s="194">
        <v>84.86999999999999</v>
      </c>
      <c r="M80" s="194">
        <v>70.38</v>
      </c>
      <c r="N80" s="194">
        <v>71.07</v>
      </c>
      <c r="O80" s="217">
        <v>1026.72</v>
      </c>
    </row>
    <row r="81" spans="1:15" ht="12.75">
      <c r="A81" s="236"/>
      <c r="B81" s="208" t="s">
        <v>92</v>
      </c>
      <c r="C81" s="216">
        <v>2.519999999999996</v>
      </c>
      <c r="D81" s="194">
        <v>2.059999999999988</v>
      </c>
      <c r="E81" s="194">
        <v>1.8399999999999963</v>
      </c>
      <c r="F81" s="194">
        <v>1.7199999999999918</v>
      </c>
      <c r="G81" s="194">
        <v>2.779999999999987</v>
      </c>
      <c r="H81" s="194">
        <v>3.1599999999999966</v>
      </c>
      <c r="I81" s="194">
        <v>3.2399999999999807</v>
      </c>
      <c r="J81" s="194">
        <v>2.8799999999999812</v>
      </c>
      <c r="K81" s="194">
        <v>2.999999999999986</v>
      </c>
      <c r="L81" s="194">
        <v>2.4599999999999795</v>
      </c>
      <c r="M81" s="194">
        <v>2.039999999999992</v>
      </c>
      <c r="N81" s="194">
        <v>2.059999999999988</v>
      </c>
      <c r="O81" s="217">
        <v>29.759999999999863</v>
      </c>
    </row>
    <row r="82" spans="1:15" ht="12.75">
      <c r="A82" s="201" t="s">
        <v>57</v>
      </c>
      <c r="B82" s="201" t="s">
        <v>72</v>
      </c>
      <c r="C82" s="210">
        <v>9.09</v>
      </c>
      <c r="D82" s="211">
        <v>9.09</v>
      </c>
      <c r="E82" s="211">
        <v>9.09</v>
      </c>
      <c r="F82" s="211">
        <v>10.1</v>
      </c>
      <c r="G82" s="211">
        <v>9.09</v>
      </c>
      <c r="H82" s="211">
        <v>14.14</v>
      </c>
      <c r="I82" s="211">
        <v>15.15</v>
      </c>
      <c r="J82" s="211">
        <v>14.14</v>
      </c>
      <c r="K82" s="211">
        <v>13.13</v>
      </c>
      <c r="L82" s="211">
        <v>13.13</v>
      </c>
      <c r="M82" s="211">
        <v>5.05</v>
      </c>
      <c r="N82" s="211">
        <v>11.11</v>
      </c>
      <c r="O82" s="212">
        <v>132.31</v>
      </c>
    </row>
    <row r="83" spans="1:15" ht="12.75">
      <c r="A83" s="236"/>
      <c r="B83" s="208" t="s">
        <v>25</v>
      </c>
      <c r="C83" s="216">
        <v>3.0599999999999996</v>
      </c>
      <c r="D83" s="194">
        <v>3.0599999999999996</v>
      </c>
      <c r="E83" s="194">
        <v>3.0599999999999996</v>
      </c>
      <c r="F83" s="194">
        <v>3.3999999999999995</v>
      </c>
      <c r="G83" s="194">
        <v>3.0599999999999996</v>
      </c>
      <c r="H83" s="194">
        <v>4.76</v>
      </c>
      <c r="I83" s="194">
        <v>5.1</v>
      </c>
      <c r="J83" s="194">
        <v>4.76</v>
      </c>
      <c r="K83" s="194">
        <v>4.42</v>
      </c>
      <c r="L83" s="194">
        <v>4.42</v>
      </c>
      <c r="M83" s="194">
        <v>1.6999999999999997</v>
      </c>
      <c r="N83" s="194">
        <v>3.7399999999999993</v>
      </c>
      <c r="O83" s="217">
        <v>44.540000000000006</v>
      </c>
    </row>
    <row r="84" spans="1:15" ht="12.75">
      <c r="A84" s="236"/>
      <c r="B84" s="208" t="s">
        <v>26</v>
      </c>
      <c r="C84" s="216">
        <v>-0.14982722204079169</v>
      </c>
      <c r="D84" s="194">
        <v>-0.14982722204079169</v>
      </c>
      <c r="E84" s="194">
        <v>-0.14982722204079169</v>
      </c>
      <c r="F84" s="194">
        <v>-0.1664746911564352</v>
      </c>
      <c r="G84" s="194">
        <v>-0.14982722204079169</v>
      </c>
      <c r="H84" s="194">
        <v>-0.23306456761900932</v>
      </c>
      <c r="I84" s="194">
        <v>-0.24971203673465284</v>
      </c>
      <c r="J84" s="194">
        <v>-0.23306456761900932</v>
      </c>
      <c r="K84" s="194">
        <v>-0.2164170985033658</v>
      </c>
      <c r="L84" s="194">
        <v>-0.2164170985033658</v>
      </c>
      <c r="M84" s="194">
        <v>-0.0832373455782176</v>
      </c>
      <c r="N84" s="194">
        <v>-0.18312216027207873</v>
      </c>
      <c r="O84" s="217">
        <v>-2.180818454149301</v>
      </c>
    </row>
    <row r="85" spans="1:15" ht="12.75">
      <c r="A85" s="236"/>
      <c r="B85" s="208" t="s">
        <v>27</v>
      </c>
      <c r="C85" s="216">
        <v>2.730172777959209</v>
      </c>
      <c r="D85" s="194">
        <v>2.730172777959209</v>
      </c>
      <c r="E85" s="194">
        <v>2.730172777959209</v>
      </c>
      <c r="F85" s="194">
        <v>3.033525308843565</v>
      </c>
      <c r="G85" s="194">
        <v>2.730172777959209</v>
      </c>
      <c r="H85" s="194">
        <v>4.246935432380991</v>
      </c>
      <c r="I85" s="194">
        <v>4.5502879632653475</v>
      </c>
      <c r="J85" s="194">
        <v>4.246935432380991</v>
      </c>
      <c r="K85" s="194">
        <v>3.9435829014966357</v>
      </c>
      <c r="L85" s="194">
        <v>3.9435829014966357</v>
      </c>
      <c r="M85" s="194">
        <v>1.5167626544217825</v>
      </c>
      <c r="N85" s="194">
        <v>3.336877839727921</v>
      </c>
      <c r="O85" s="217">
        <v>39.739181545850705</v>
      </c>
    </row>
    <row r="86" spans="1:15" ht="12.75">
      <c r="A86" s="236"/>
      <c r="B86" s="208" t="s">
        <v>51</v>
      </c>
      <c r="C86" s="216">
        <v>6.03</v>
      </c>
      <c r="D86" s="194">
        <v>6.03</v>
      </c>
      <c r="E86" s="194">
        <v>6.03</v>
      </c>
      <c r="F86" s="194">
        <v>6.7</v>
      </c>
      <c r="G86" s="194">
        <v>6.03</v>
      </c>
      <c r="H86" s="194">
        <v>9.38</v>
      </c>
      <c r="I86" s="194">
        <v>10.05</v>
      </c>
      <c r="J86" s="194">
        <v>9.38</v>
      </c>
      <c r="K86" s="194">
        <v>8.71</v>
      </c>
      <c r="L86" s="194">
        <v>8.71</v>
      </c>
      <c r="M86" s="194">
        <v>3.35</v>
      </c>
      <c r="N86" s="194">
        <v>7.37</v>
      </c>
      <c r="O86" s="217">
        <v>87.77000000000001</v>
      </c>
    </row>
    <row r="87" spans="1:15" ht="12.75">
      <c r="A87" s="236"/>
      <c r="B87" s="208" t="s">
        <v>90</v>
      </c>
      <c r="C87" s="216">
        <v>6.209999999999999</v>
      </c>
      <c r="D87" s="194">
        <v>6.209999999999999</v>
      </c>
      <c r="E87" s="194">
        <v>6.209999999999999</v>
      </c>
      <c r="F87" s="194">
        <v>6.8999999999999995</v>
      </c>
      <c r="G87" s="194">
        <v>6.209999999999999</v>
      </c>
      <c r="H87" s="194">
        <v>9.66</v>
      </c>
      <c r="I87" s="194">
        <v>10.35</v>
      </c>
      <c r="J87" s="194">
        <v>9.66</v>
      </c>
      <c r="K87" s="194">
        <v>8.969999999999999</v>
      </c>
      <c r="L87" s="194">
        <v>8.969999999999999</v>
      </c>
      <c r="M87" s="194">
        <v>3.4499999999999997</v>
      </c>
      <c r="N87" s="194">
        <v>7.59</v>
      </c>
      <c r="O87" s="217">
        <v>90.39</v>
      </c>
    </row>
    <row r="88" spans="1:15" ht="12.75">
      <c r="A88" s="236"/>
      <c r="B88" s="208" t="s">
        <v>92</v>
      </c>
      <c r="C88" s="216">
        <v>0.17999999999999883</v>
      </c>
      <c r="D88" s="194">
        <v>0.17999999999999883</v>
      </c>
      <c r="E88" s="194">
        <v>0.17999999999999883</v>
      </c>
      <c r="F88" s="194">
        <v>0.1999999999999993</v>
      </c>
      <c r="G88" s="194">
        <v>0.17999999999999883</v>
      </c>
      <c r="H88" s="194">
        <v>0.27999999999999936</v>
      </c>
      <c r="I88" s="194">
        <v>0.29999999999999893</v>
      </c>
      <c r="J88" s="194">
        <v>0.27999999999999936</v>
      </c>
      <c r="K88" s="194">
        <v>0.259999999999998</v>
      </c>
      <c r="L88" s="194">
        <v>0.259999999999998</v>
      </c>
      <c r="M88" s="194">
        <v>0.09999999999999964</v>
      </c>
      <c r="N88" s="194">
        <v>0.21999999999999975</v>
      </c>
      <c r="O88" s="217">
        <v>2.6199999999999877</v>
      </c>
    </row>
    <row r="89" spans="1:15" ht="12.75">
      <c r="A89" s="201" t="s">
        <v>58</v>
      </c>
      <c r="B89" s="201" t="s">
        <v>72</v>
      </c>
      <c r="C89" s="210">
        <v>25.25</v>
      </c>
      <c r="D89" s="211">
        <v>21.21</v>
      </c>
      <c r="E89" s="211">
        <v>18.18</v>
      </c>
      <c r="F89" s="211">
        <v>21.21</v>
      </c>
      <c r="G89" s="211">
        <v>34.34</v>
      </c>
      <c r="H89" s="211">
        <v>37.37</v>
      </c>
      <c r="I89" s="211">
        <v>38.38</v>
      </c>
      <c r="J89" s="211">
        <v>35.35</v>
      </c>
      <c r="K89" s="211">
        <v>36.36</v>
      </c>
      <c r="L89" s="211">
        <v>30.3</v>
      </c>
      <c r="M89" s="211">
        <v>20.2</v>
      </c>
      <c r="N89" s="211">
        <v>21.21</v>
      </c>
      <c r="O89" s="212">
        <v>339.35999999999996</v>
      </c>
    </row>
    <row r="90" spans="1:15" ht="12.75">
      <c r="A90" s="236"/>
      <c r="B90" s="208" t="s">
        <v>25</v>
      </c>
      <c r="C90" s="216">
        <v>8.5</v>
      </c>
      <c r="D90" s="194">
        <v>7.140000000000001</v>
      </c>
      <c r="E90" s="194">
        <v>6.119999999999999</v>
      </c>
      <c r="F90" s="194">
        <v>7.140000000000001</v>
      </c>
      <c r="G90" s="194">
        <v>11.560000000000002</v>
      </c>
      <c r="H90" s="194">
        <v>12.579999999999995</v>
      </c>
      <c r="I90" s="194">
        <v>12.920000000000002</v>
      </c>
      <c r="J90" s="194">
        <v>11.899999999999999</v>
      </c>
      <c r="K90" s="194">
        <v>12.239999999999998</v>
      </c>
      <c r="L90" s="194">
        <v>10.2</v>
      </c>
      <c r="M90" s="194">
        <v>6.799999999999999</v>
      </c>
      <c r="N90" s="194">
        <v>7.140000000000001</v>
      </c>
      <c r="O90" s="217">
        <v>114.23999999999998</v>
      </c>
    </row>
    <row r="91" spans="1:15" ht="12.75">
      <c r="A91" s="236"/>
      <c r="B91" s="208" t="s">
        <v>26</v>
      </c>
      <c r="C91" s="216">
        <v>-0.416186727891088</v>
      </c>
      <c r="D91" s="194">
        <v>-0.34959685142851393</v>
      </c>
      <c r="E91" s="194">
        <v>-0.29965444408158337</v>
      </c>
      <c r="F91" s="194">
        <v>-0.34959685142851393</v>
      </c>
      <c r="G91" s="194">
        <v>-0.5660139499318797</v>
      </c>
      <c r="H91" s="194">
        <v>-0.6159563572788103</v>
      </c>
      <c r="I91" s="194">
        <v>-0.6326038263944538</v>
      </c>
      <c r="J91" s="194">
        <v>-0.5826614190475232</v>
      </c>
      <c r="K91" s="194">
        <v>-0.5993088881631667</v>
      </c>
      <c r="L91" s="194">
        <v>-0.4994240734693057</v>
      </c>
      <c r="M91" s="194">
        <v>-0.3329493823128704</v>
      </c>
      <c r="N91" s="194">
        <v>-0.34959685142851393</v>
      </c>
      <c r="O91" s="217">
        <v>-5.593549622856223</v>
      </c>
    </row>
    <row r="92" spans="1:15" ht="12.75">
      <c r="A92" s="236"/>
      <c r="B92" s="208" t="s">
        <v>27</v>
      </c>
      <c r="C92" s="216">
        <v>7.583813272108912</v>
      </c>
      <c r="D92" s="194">
        <v>6.370403148571489</v>
      </c>
      <c r="E92" s="194">
        <v>5.460345555918418</v>
      </c>
      <c r="F92" s="194">
        <v>6.370403148571489</v>
      </c>
      <c r="G92" s="194">
        <v>10.313986050068127</v>
      </c>
      <c r="H92" s="194">
        <v>11.22404364272119</v>
      </c>
      <c r="I92" s="194">
        <v>11.527396173605549</v>
      </c>
      <c r="J92" s="194">
        <v>10.61733858095248</v>
      </c>
      <c r="K92" s="194">
        <v>10.920691111836836</v>
      </c>
      <c r="L92" s="194">
        <v>9.100575926530695</v>
      </c>
      <c r="M92" s="194">
        <v>6.06705061768713</v>
      </c>
      <c r="N92" s="194">
        <v>6.370403148571489</v>
      </c>
      <c r="O92" s="217">
        <v>101.9264503771438</v>
      </c>
    </row>
    <row r="93" spans="1:15" ht="12.75">
      <c r="A93" s="236"/>
      <c r="B93" s="208" t="s">
        <v>51</v>
      </c>
      <c r="C93" s="216">
        <v>16.75</v>
      </c>
      <c r="D93" s="194">
        <v>14.07</v>
      </c>
      <c r="E93" s="194">
        <v>12.06</v>
      </c>
      <c r="F93" s="194">
        <v>14.07</v>
      </c>
      <c r="G93" s="194">
        <v>22.78</v>
      </c>
      <c r="H93" s="194">
        <v>24.790000000000003</v>
      </c>
      <c r="I93" s="194">
        <v>25.46</v>
      </c>
      <c r="J93" s="194">
        <v>23.450000000000003</v>
      </c>
      <c r="K93" s="194">
        <v>24.12</v>
      </c>
      <c r="L93" s="194">
        <v>20.1</v>
      </c>
      <c r="M93" s="194">
        <v>13.4</v>
      </c>
      <c r="N93" s="194">
        <v>14.07</v>
      </c>
      <c r="O93" s="217">
        <v>225.12</v>
      </c>
    </row>
    <row r="94" spans="1:15" ht="12.75">
      <c r="A94" s="236"/>
      <c r="B94" s="208" t="s">
        <v>90</v>
      </c>
      <c r="C94" s="216">
        <v>17.25</v>
      </c>
      <c r="D94" s="194">
        <v>14.489999999999998</v>
      </c>
      <c r="E94" s="194">
        <v>12.419999999999998</v>
      </c>
      <c r="F94" s="194">
        <v>14.489999999999998</v>
      </c>
      <c r="G94" s="194">
        <v>23.459999999999997</v>
      </c>
      <c r="H94" s="194">
        <v>25.529999999999998</v>
      </c>
      <c r="I94" s="194">
        <v>26.22</v>
      </c>
      <c r="J94" s="194">
        <v>24.15</v>
      </c>
      <c r="K94" s="194">
        <v>24.839999999999996</v>
      </c>
      <c r="L94" s="194">
        <v>20.7</v>
      </c>
      <c r="M94" s="194">
        <v>13.799999999999999</v>
      </c>
      <c r="N94" s="194">
        <v>14.489999999999998</v>
      </c>
      <c r="O94" s="217">
        <v>231.84</v>
      </c>
    </row>
    <row r="95" spans="1:15" ht="12.75">
      <c r="A95" s="236"/>
      <c r="B95" s="208" t="s">
        <v>92</v>
      </c>
      <c r="C95" s="216">
        <v>0.5</v>
      </c>
      <c r="D95" s="194">
        <v>0.41999999999999815</v>
      </c>
      <c r="E95" s="194">
        <v>0.35999999999999766</v>
      </c>
      <c r="F95" s="194">
        <v>0.41999999999999815</v>
      </c>
      <c r="G95" s="194">
        <v>0.6799999999999962</v>
      </c>
      <c r="H95" s="194">
        <v>0.7399999999999949</v>
      </c>
      <c r="I95" s="194">
        <v>0.759999999999998</v>
      </c>
      <c r="J95" s="194">
        <v>0.6999999999999957</v>
      </c>
      <c r="K95" s="194">
        <v>0.7199999999999953</v>
      </c>
      <c r="L95" s="194">
        <v>0.5999999999999979</v>
      </c>
      <c r="M95" s="194">
        <v>0.3999999999999986</v>
      </c>
      <c r="N95" s="194">
        <v>0.41999999999999815</v>
      </c>
      <c r="O95" s="217">
        <v>6.719999999999969</v>
      </c>
    </row>
    <row r="96" spans="1:15" ht="12.75">
      <c r="A96" s="201" t="s">
        <v>59</v>
      </c>
      <c r="B96" s="201" t="s">
        <v>72</v>
      </c>
      <c r="C96" s="210">
        <v>45.45</v>
      </c>
      <c r="D96" s="211">
        <v>43.43</v>
      </c>
      <c r="E96" s="211">
        <v>39.39</v>
      </c>
      <c r="F96" s="211">
        <v>39.39</v>
      </c>
      <c r="G96" s="211">
        <v>56.56</v>
      </c>
      <c r="H96" s="211">
        <v>57.57</v>
      </c>
      <c r="I96" s="211">
        <v>56.56</v>
      </c>
      <c r="J96" s="211">
        <v>56.56</v>
      </c>
      <c r="K96" s="211">
        <v>55.55</v>
      </c>
      <c r="L96" s="211">
        <v>52.52</v>
      </c>
      <c r="M96" s="211">
        <v>42.42</v>
      </c>
      <c r="N96" s="211">
        <v>41.410000000000004</v>
      </c>
      <c r="O96" s="212">
        <v>586.81</v>
      </c>
    </row>
    <row r="97" spans="1:15" ht="12.75">
      <c r="A97" s="236"/>
      <c r="B97" s="208" t="s">
        <v>25</v>
      </c>
      <c r="C97" s="216">
        <v>15.3</v>
      </c>
      <c r="D97" s="194">
        <v>14.619999999999997</v>
      </c>
      <c r="E97" s="194">
        <v>13.259999999999998</v>
      </c>
      <c r="F97" s="194">
        <v>13.259999999999998</v>
      </c>
      <c r="G97" s="194">
        <v>19.04</v>
      </c>
      <c r="H97" s="194">
        <v>19.379999999999995</v>
      </c>
      <c r="I97" s="194">
        <v>19.04</v>
      </c>
      <c r="J97" s="194">
        <v>19.04</v>
      </c>
      <c r="K97" s="194">
        <v>18.699999999999996</v>
      </c>
      <c r="L97" s="194">
        <v>17.68</v>
      </c>
      <c r="M97" s="194">
        <v>14.280000000000001</v>
      </c>
      <c r="N97" s="194">
        <v>13.940000000000001</v>
      </c>
      <c r="O97" s="217">
        <v>197.53999999999996</v>
      </c>
    </row>
    <row r="98" spans="1:15" ht="12.75">
      <c r="A98" s="236"/>
      <c r="B98" s="208" t="s">
        <v>26</v>
      </c>
      <c r="C98" s="216">
        <v>-0.7491361102039584</v>
      </c>
      <c r="D98" s="194">
        <v>-0.7158411719726714</v>
      </c>
      <c r="E98" s="194">
        <v>-0.6492512955100973</v>
      </c>
      <c r="F98" s="194">
        <v>-0.6492512955100973</v>
      </c>
      <c r="G98" s="194">
        <v>-0.9322582704760373</v>
      </c>
      <c r="H98" s="194">
        <v>-0.9489057395916808</v>
      </c>
      <c r="I98" s="194">
        <v>-0.9322582704760373</v>
      </c>
      <c r="J98" s="194">
        <v>-0.9322582704760373</v>
      </c>
      <c r="K98" s="194">
        <v>-0.9156108013603937</v>
      </c>
      <c r="L98" s="194">
        <v>-0.8656683940134632</v>
      </c>
      <c r="M98" s="194">
        <v>-0.6991937028570279</v>
      </c>
      <c r="N98" s="194">
        <v>-0.6825462337413843</v>
      </c>
      <c r="O98" s="217">
        <v>-9.672179556188887</v>
      </c>
    </row>
    <row r="99" spans="1:15" ht="12.75">
      <c r="A99" s="236"/>
      <c r="B99" s="208" t="s">
        <v>27</v>
      </c>
      <c r="C99" s="216">
        <v>13.650863889796048</v>
      </c>
      <c r="D99" s="194">
        <v>13.04415882802733</v>
      </c>
      <c r="E99" s="194">
        <v>11.830748704489906</v>
      </c>
      <c r="F99" s="194">
        <v>11.830748704489906</v>
      </c>
      <c r="G99" s="194">
        <v>16.987741729523965</v>
      </c>
      <c r="H99" s="194">
        <v>17.29109426040832</v>
      </c>
      <c r="I99" s="194">
        <v>16.987741729523965</v>
      </c>
      <c r="J99" s="194">
        <v>16.987741729523965</v>
      </c>
      <c r="K99" s="194">
        <v>16.684389198639607</v>
      </c>
      <c r="L99" s="194">
        <v>15.774331605986543</v>
      </c>
      <c r="M99" s="194">
        <v>12.740806297142978</v>
      </c>
      <c r="N99" s="194">
        <v>12.43745376625862</v>
      </c>
      <c r="O99" s="217">
        <v>176.2478204438111</v>
      </c>
    </row>
    <row r="100" spans="1:15" ht="12.75">
      <c r="A100" s="236"/>
      <c r="B100" s="208" t="s">
        <v>51</v>
      </c>
      <c r="C100" s="216">
        <v>30.150000000000002</v>
      </c>
      <c r="D100" s="194">
        <v>28.810000000000002</v>
      </c>
      <c r="E100" s="194">
        <v>26.130000000000003</v>
      </c>
      <c r="F100" s="194">
        <v>26.130000000000003</v>
      </c>
      <c r="G100" s="194">
        <v>37.52</v>
      </c>
      <c r="H100" s="194">
        <v>38.190000000000005</v>
      </c>
      <c r="I100" s="194">
        <v>37.52</v>
      </c>
      <c r="J100" s="194">
        <v>37.52</v>
      </c>
      <c r="K100" s="194">
        <v>36.85</v>
      </c>
      <c r="L100" s="194">
        <v>34.84</v>
      </c>
      <c r="M100" s="194">
        <v>28.14</v>
      </c>
      <c r="N100" s="194">
        <v>27.470000000000002</v>
      </c>
      <c r="O100" s="217">
        <v>389.2700000000001</v>
      </c>
    </row>
    <row r="101" spans="1:15" ht="12.75">
      <c r="A101" s="236"/>
      <c r="B101" s="208" t="s">
        <v>90</v>
      </c>
      <c r="C101" s="216">
        <v>31.049999999999997</v>
      </c>
      <c r="D101" s="194">
        <v>29.669999999999998</v>
      </c>
      <c r="E101" s="194">
        <v>26.909999999999997</v>
      </c>
      <c r="F101" s="194">
        <v>26.909999999999997</v>
      </c>
      <c r="G101" s="194">
        <v>38.64</v>
      </c>
      <c r="H101" s="194">
        <v>39.33</v>
      </c>
      <c r="I101" s="194">
        <v>38.64</v>
      </c>
      <c r="J101" s="194">
        <v>38.64</v>
      </c>
      <c r="K101" s="194">
        <v>37.949999999999996</v>
      </c>
      <c r="L101" s="194">
        <v>35.879999999999995</v>
      </c>
      <c r="M101" s="194">
        <v>28.979999999999997</v>
      </c>
      <c r="N101" s="194">
        <v>28.29</v>
      </c>
      <c r="O101" s="217">
        <v>400.89</v>
      </c>
    </row>
    <row r="102" spans="1:15" ht="12.75">
      <c r="A102" s="236"/>
      <c r="B102" s="208" t="s">
        <v>92</v>
      </c>
      <c r="C102" s="216">
        <v>0.899999999999995</v>
      </c>
      <c r="D102" s="194">
        <v>0.8599999999999959</v>
      </c>
      <c r="E102" s="194">
        <v>0.779999999999994</v>
      </c>
      <c r="F102" s="194">
        <v>0.779999999999994</v>
      </c>
      <c r="G102" s="194">
        <v>1.1199999999999974</v>
      </c>
      <c r="H102" s="194">
        <v>1.1399999999999935</v>
      </c>
      <c r="I102" s="194">
        <v>1.1199999999999974</v>
      </c>
      <c r="J102" s="194">
        <v>1.1199999999999974</v>
      </c>
      <c r="K102" s="194">
        <v>1.0999999999999943</v>
      </c>
      <c r="L102" s="194">
        <v>1.039999999999992</v>
      </c>
      <c r="M102" s="194">
        <v>0.8399999999999963</v>
      </c>
      <c r="N102" s="194">
        <v>0.8199999999999967</v>
      </c>
      <c r="O102" s="217">
        <v>11.619999999999944</v>
      </c>
    </row>
    <row r="103" spans="1:15" ht="12.75">
      <c r="A103" s="201" t="s">
        <v>83</v>
      </c>
      <c r="B103" s="201" t="s">
        <v>72</v>
      </c>
      <c r="C103" s="210">
        <v>206.04</v>
      </c>
      <c r="D103" s="211">
        <v>132.31</v>
      </c>
      <c r="E103" s="211">
        <v>110.09</v>
      </c>
      <c r="F103" s="211">
        <v>84.84</v>
      </c>
      <c r="G103" s="211">
        <v>135.34</v>
      </c>
      <c r="H103" s="211">
        <v>133.32</v>
      </c>
      <c r="I103" s="211">
        <v>144.43</v>
      </c>
      <c r="J103" s="211">
        <v>121.2</v>
      </c>
      <c r="K103" s="211">
        <v>128.27</v>
      </c>
      <c r="L103" s="211">
        <v>119.18</v>
      </c>
      <c r="M103" s="211">
        <v>143.42</v>
      </c>
      <c r="N103" s="211">
        <v>130.29</v>
      </c>
      <c r="O103" s="212">
        <v>1588.7300000000002</v>
      </c>
    </row>
    <row r="104" spans="1:15" ht="12.75">
      <c r="A104" s="236"/>
      <c r="B104" s="208" t="s">
        <v>25</v>
      </c>
      <c r="C104" s="216">
        <v>69.35999999999999</v>
      </c>
      <c r="D104" s="194">
        <v>44.53999999999999</v>
      </c>
      <c r="E104" s="194">
        <v>37.06</v>
      </c>
      <c r="F104" s="194">
        <v>28.560000000000002</v>
      </c>
      <c r="G104" s="194">
        <v>45.56</v>
      </c>
      <c r="H104" s="194">
        <v>44.87999999999998</v>
      </c>
      <c r="I104" s="194">
        <v>48.620000000000005</v>
      </c>
      <c r="J104" s="194">
        <v>40.8</v>
      </c>
      <c r="K104" s="194">
        <v>43.18000000000001</v>
      </c>
      <c r="L104" s="194">
        <v>40.120000000000005</v>
      </c>
      <c r="M104" s="194">
        <v>48.27999999999999</v>
      </c>
      <c r="N104" s="194">
        <v>43.859999999999985</v>
      </c>
      <c r="O104" s="217">
        <v>534.8199999999999</v>
      </c>
    </row>
    <row r="105" spans="1:15" ht="12.75">
      <c r="A105" s="236"/>
      <c r="B105" s="208" t="s">
        <v>26</v>
      </c>
      <c r="C105" s="216">
        <v>-3.3960836995912786</v>
      </c>
      <c r="D105" s="194">
        <v>-2.180818454149301</v>
      </c>
      <c r="E105" s="194">
        <v>-1.8145741336051437</v>
      </c>
      <c r="F105" s="194">
        <v>-1.3983874057140557</v>
      </c>
      <c r="G105" s="194">
        <v>-2.2307608614962318</v>
      </c>
      <c r="H105" s="194">
        <v>-2.1974659232649447</v>
      </c>
      <c r="I105" s="194">
        <v>-2.3805880835370234</v>
      </c>
      <c r="J105" s="194">
        <v>-1.9976962938772227</v>
      </c>
      <c r="K105" s="194">
        <v>-2.114228577686727</v>
      </c>
      <c r="L105" s="194">
        <v>-1.9644013556459357</v>
      </c>
      <c r="M105" s="194">
        <v>-2.36394061442138</v>
      </c>
      <c r="N105" s="194">
        <v>-2.147523515918014</v>
      </c>
      <c r="O105" s="217">
        <v>-26.186468918907263</v>
      </c>
    </row>
    <row r="106" spans="1:15" ht="12.75">
      <c r="A106" s="236"/>
      <c r="B106" s="208" t="s">
        <v>27</v>
      </c>
      <c r="C106" s="216">
        <v>61.88391630040873</v>
      </c>
      <c r="D106" s="194">
        <v>39.73918154585071</v>
      </c>
      <c r="E106" s="194">
        <v>33.06542586639487</v>
      </c>
      <c r="F106" s="194">
        <v>25.481612594285956</v>
      </c>
      <c r="G106" s="194">
        <v>40.64923913850378</v>
      </c>
      <c r="H106" s="194">
        <v>40.04253407673505</v>
      </c>
      <c r="I106" s="194">
        <v>43.379411916463</v>
      </c>
      <c r="J106" s="194">
        <v>36.40230370612278</v>
      </c>
      <c r="K106" s="194">
        <v>38.52577142231329</v>
      </c>
      <c r="L106" s="194">
        <v>35.79559864435409</v>
      </c>
      <c r="M106" s="194">
        <v>43.07605938557862</v>
      </c>
      <c r="N106" s="194">
        <v>39.132476484081984</v>
      </c>
      <c r="O106" s="217">
        <v>477.17353108109285</v>
      </c>
    </row>
    <row r="107" spans="1:15" ht="12.75">
      <c r="A107" s="236"/>
      <c r="B107" s="208" t="s">
        <v>51</v>
      </c>
      <c r="C107" s="216">
        <v>136.68</v>
      </c>
      <c r="D107" s="194">
        <v>87.77000000000001</v>
      </c>
      <c r="E107" s="194">
        <v>73.03</v>
      </c>
      <c r="F107" s="194">
        <v>56.28</v>
      </c>
      <c r="G107" s="194">
        <v>89.78</v>
      </c>
      <c r="H107" s="194">
        <v>88.44000000000001</v>
      </c>
      <c r="I107" s="194">
        <v>95.81</v>
      </c>
      <c r="J107" s="194">
        <v>80.4</v>
      </c>
      <c r="K107" s="194">
        <v>85.09</v>
      </c>
      <c r="L107" s="194">
        <v>79.06</v>
      </c>
      <c r="M107" s="194">
        <v>95.14</v>
      </c>
      <c r="N107" s="194">
        <v>86.43</v>
      </c>
      <c r="O107" s="217">
        <v>1053.9099999999999</v>
      </c>
    </row>
    <row r="108" spans="1:15" ht="12.75">
      <c r="A108" s="236"/>
      <c r="B108" s="208" t="s">
        <v>90</v>
      </c>
      <c r="C108" s="216">
        <v>140.76</v>
      </c>
      <c r="D108" s="194">
        <v>90.38999999999999</v>
      </c>
      <c r="E108" s="194">
        <v>75.21</v>
      </c>
      <c r="F108" s="194">
        <v>57.959999999999994</v>
      </c>
      <c r="G108" s="194">
        <v>92.46</v>
      </c>
      <c r="H108" s="194">
        <v>91.08</v>
      </c>
      <c r="I108" s="194">
        <v>98.66999999999999</v>
      </c>
      <c r="J108" s="194">
        <v>82.8</v>
      </c>
      <c r="K108" s="194">
        <v>87.63</v>
      </c>
      <c r="L108" s="194">
        <v>81.41999999999999</v>
      </c>
      <c r="M108" s="194">
        <v>97.97999999999999</v>
      </c>
      <c r="N108" s="194">
        <v>89.00999999999999</v>
      </c>
      <c r="O108" s="217">
        <v>1085.37</v>
      </c>
    </row>
    <row r="109" spans="1:15" ht="12.75">
      <c r="A109" s="236"/>
      <c r="B109" s="208" t="s">
        <v>92</v>
      </c>
      <c r="C109" s="216">
        <v>4.079999999999984</v>
      </c>
      <c r="D109" s="194">
        <v>2.619999999999976</v>
      </c>
      <c r="E109" s="194">
        <v>2.1799999999999926</v>
      </c>
      <c r="F109" s="194">
        <v>1.6799999999999926</v>
      </c>
      <c r="G109" s="194">
        <v>2.6799999999999926</v>
      </c>
      <c r="H109" s="194">
        <v>2.6399999999999864</v>
      </c>
      <c r="I109" s="194">
        <v>2.859999999999985</v>
      </c>
      <c r="J109" s="194">
        <v>2.3999999999999915</v>
      </c>
      <c r="K109" s="194">
        <v>2.539999999999992</v>
      </c>
      <c r="L109" s="194">
        <v>2.359999999999985</v>
      </c>
      <c r="M109" s="194">
        <v>2.839999999999989</v>
      </c>
      <c r="N109" s="194">
        <v>2.579999999999984</v>
      </c>
      <c r="O109" s="217">
        <v>31.45999999999985</v>
      </c>
    </row>
    <row r="110" spans="1:15" ht="12.75">
      <c r="A110" s="201" t="s">
        <v>85</v>
      </c>
      <c r="B110" s="201" t="s">
        <v>72</v>
      </c>
      <c r="C110" s="210">
        <v>50.5</v>
      </c>
      <c r="D110" s="211">
        <v>44.44</v>
      </c>
      <c r="E110" s="211">
        <v>31.31</v>
      </c>
      <c r="F110" s="211">
        <v>23.23</v>
      </c>
      <c r="G110" s="211">
        <v>42.42</v>
      </c>
      <c r="H110" s="211">
        <v>48.480000000000004</v>
      </c>
      <c r="I110" s="211">
        <v>53.53</v>
      </c>
      <c r="J110" s="211">
        <v>45.45</v>
      </c>
      <c r="K110" s="211">
        <v>43.43</v>
      </c>
      <c r="L110" s="211">
        <v>35.35</v>
      </c>
      <c r="M110" s="211">
        <v>35.35</v>
      </c>
      <c r="N110" s="211">
        <v>36.36</v>
      </c>
      <c r="O110" s="212">
        <v>489.85</v>
      </c>
    </row>
    <row r="111" spans="1:15" ht="12.75">
      <c r="A111" s="236"/>
      <c r="B111" s="208" t="s">
        <v>25</v>
      </c>
      <c r="C111" s="216">
        <v>17</v>
      </c>
      <c r="D111" s="194">
        <v>14.959999999999997</v>
      </c>
      <c r="E111" s="194">
        <v>10.54</v>
      </c>
      <c r="F111" s="194">
        <v>7.82</v>
      </c>
      <c r="G111" s="194">
        <v>14.280000000000001</v>
      </c>
      <c r="H111" s="194">
        <v>16.32</v>
      </c>
      <c r="I111" s="194">
        <v>18.019999999999996</v>
      </c>
      <c r="J111" s="194">
        <v>15.3</v>
      </c>
      <c r="K111" s="194">
        <v>14.619999999999997</v>
      </c>
      <c r="L111" s="194">
        <v>11.899999999999999</v>
      </c>
      <c r="M111" s="194">
        <v>11.899999999999999</v>
      </c>
      <c r="N111" s="194">
        <v>12.239999999999998</v>
      </c>
      <c r="O111" s="217">
        <v>164.9</v>
      </c>
    </row>
    <row r="112" spans="1:15" ht="12.75">
      <c r="A112" s="236"/>
      <c r="B112" s="208" t="s">
        <v>26</v>
      </c>
      <c r="C112" s="216">
        <v>-0.832373455782176</v>
      </c>
      <c r="D112" s="194">
        <v>-0.7324886410883149</v>
      </c>
      <c r="E112" s="194">
        <v>-0.5160715425849491</v>
      </c>
      <c r="F112" s="194">
        <v>-0.382891789659801</v>
      </c>
      <c r="G112" s="194">
        <v>-0.6991937028570279</v>
      </c>
      <c r="H112" s="194">
        <v>-0.799078517550889</v>
      </c>
      <c r="I112" s="194">
        <v>-0.8823158631291067</v>
      </c>
      <c r="J112" s="194">
        <v>-0.7491361102039584</v>
      </c>
      <c r="K112" s="194">
        <v>-0.7158411719726714</v>
      </c>
      <c r="L112" s="194">
        <v>-0.5826614190475232</v>
      </c>
      <c r="M112" s="194">
        <v>-0.5826614190475232</v>
      </c>
      <c r="N112" s="194">
        <v>-0.5993088881631667</v>
      </c>
      <c r="O112" s="217">
        <v>-8.074022521087109</v>
      </c>
    </row>
    <row r="113" spans="1:15" ht="12.75">
      <c r="A113" s="236"/>
      <c r="B113" s="208" t="s">
        <v>27</v>
      </c>
      <c r="C113" s="216">
        <v>15.167626544217825</v>
      </c>
      <c r="D113" s="194">
        <v>13.347511358911683</v>
      </c>
      <c r="E113" s="194">
        <v>9.403928457415052</v>
      </c>
      <c r="F113" s="194">
        <v>6.9771082103402</v>
      </c>
      <c r="G113" s="194">
        <v>12.740806297142978</v>
      </c>
      <c r="H113" s="194">
        <v>14.560921482449118</v>
      </c>
      <c r="I113" s="194">
        <v>16.077684136870893</v>
      </c>
      <c r="J113" s="194">
        <v>13.650863889796048</v>
      </c>
      <c r="K113" s="194">
        <v>13.04415882802733</v>
      </c>
      <c r="L113" s="194">
        <v>10.61733858095248</v>
      </c>
      <c r="M113" s="194">
        <v>10.61733858095248</v>
      </c>
      <c r="N113" s="194">
        <v>10.920691111836836</v>
      </c>
      <c r="O113" s="217">
        <v>147.12597747891292</v>
      </c>
    </row>
    <row r="114" spans="1:15" ht="12.75">
      <c r="A114" s="236"/>
      <c r="B114" s="208" t="s">
        <v>51</v>
      </c>
      <c r="C114" s="216">
        <v>33.5</v>
      </c>
      <c r="D114" s="194">
        <v>29.48</v>
      </c>
      <c r="E114" s="194">
        <v>20.77</v>
      </c>
      <c r="F114" s="194">
        <v>15.41</v>
      </c>
      <c r="G114" s="194">
        <v>28.14</v>
      </c>
      <c r="H114" s="194">
        <v>32.160000000000004</v>
      </c>
      <c r="I114" s="194">
        <v>35.510000000000005</v>
      </c>
      <c r="J114" s="194">
        <v>30.150000000000002</v>
      </c>
      <c r="K114" s="194">
        <v>28.810000000000002</v>
      </c>
      <c r="L114" s="194">
        <v>23.450000000000003</v>
      </c>
      <c r="M114" s="194">
        <v>23.450000000000003</v>
      </c>
      <c r="N114" s="194">
        <v>24.12</v>
      </c>
      <c r="O114" s="217">
        <v>324.95000000000005</v>
      </c>
    </row>
    <row r="115" spans="1:15" ht="12.75">
      <c r="A115" s="236"/>
      <c r="B115" s="208" t="s">
        <v>90</v>
      </c>
      <c r="C115" s="216">
        <v>34.5</v>
      </c>
      <c r="D115" s="194">
        <v>30.36</v>
      </c>
      <c r="E115" s="194">
        <v>21.389999999999997</v>
      </c>
      <c r="F115" s="194">
        <v>15.87</v>
      </c>
      <c r="G115" s="194">
        <v>28.979999999999997</v>
      </c>
      <c r="H115" s="194">
        <v>33.12</v>
      </c>
      <c r="I115" s="194">
        <v>36.57</v>
      </c>
      <c r="J115" s="194">
        <v>31.049999999999997</v>
      </c>
      <c r="K115" s="194">
        <v>29.669999999999998</v>
      </c>
      <c r="L115" s="194">
        <v>24.15</v>
      </c>
      <c r="M115" s="194">
        <v>24.15</v>
      </c>
      <c r="N115" s="194">
        <v>24.839999999999996</v>
      </c>
      <c r="O115" s="217">
        <v>334.6499999999999</v>
      </c>
    </row>
    <row r="116" spans="1:15" ht="12.75">
      <c r="A116" s="236"/>
      <c r="B116" s="208" t="s">
        <v>92</v>
      </c>
      <c r="C116" s="216">
        <v>1</v>
      </c>
      <c r="D116" s="194">
        <v>0.879999999999999</v>
      </c>
      <c r="E116" s="194">
        <v>0.6199999999999974</v>
      </c>
      <c r="F116" s="194">
        <v>0.4599999999999991</v>
      </c>
      <c r="G116" s="194">
        <v>0.8399999999999963</v>
      </c>
      <c r="H116" s="194">
        <v>0.9599999999999937</v>
      </c>
      <c r="I116" s="194">
        <v>1.0599999999999952</v>
      </c>
      <c r="J116" s="194">
        <v>0.899999999999995</v>
      </c>
      <c r="K116" s="194">
        <v>0.8599999999999959</v>
      </c>
      <c r="L116" s="194">
        <v>0.6999999999999957</v>
      </c>
      <c r="M116" s="194">
        <v>0.6999999999999957</v>
      </c>
      <c r="N116" s="194">
        <v>0.7199999999999953</v>
      </c>
      <c r="O116" s="217">
        <v>9.699999999999958</v>
      </c>
    </row>
    <row r="117" spans="1:15" ht="12.75">
      <c r="A117" s="201" t="s">
        <v>73</v>
      </c>
      <c r="B117" s="202"/>
      <c r="C117" s="210">
        <v>9651.560000000001</v>
      </c>
      <c r="D117" s="211">
        <v>7841.639999999999</v>
      </c>
      <c r="E117" s="211">
        <v>6492.2800000000025</v>
      </c>
      <c r="F117" s="211">
        <v>6136.759999999999</v>
      </c>
      <c r="G117" s="211">
        <v>9368.759999999998</v>
      </c>
      <c r="H117" s="211">
        <v>10083.839999999998</v>
      </c>
      <c r="I117" s="211">
        <v>10564.6</v>
      </c>
      <c r="J117" s="211">
        <v>9764.680000000002</v>
      </c>
      <c r="K117" s="211">
        <v>9610.15</v>
      </c>
      <c r="L117" s="211">
        <v>8605.199999999999</v>
      </c>
      <c r="M117" s="211">
        <v>7734.580000000001</v>
      </c>
      <c r="N117" s="211">
        <v>7688.119999999999</v>
      </c>
      <c r="O117" s="212">
        <v>103542.17000000001</v>
      </c>
    </row>
    <row r="118" spans="1:15" ht="12.75">
      <c r="A118" s="201" t="s">
        <v>28</v>
      </c>
      <c r="B118" s="202"/>
      <c r="C118" s="218">
        <v>3249.0399999999995</v>
      </c>
      <c r="D118" s="219">
        <v>2639.7599999999993</v>
      </c>
      <c r="E118" s="219">
        <v>2185.5200000000004</v>
      </c>
      <c r="F118" s="219">
        <v>2065.8399999999997</v>
      </c>
      <c r="G118" s="219">
        <v>3153.8399999999997</v>
      </c>
      <c r="H118" s="219">
        <v>3394.56</v>
      </c>
      <c r="I118" s="219">
        <v>3556.3999999999996</v>
      </c>
      <c r="J118" s="219">
        <v>3287.1200000000003</v>
      </c>
      <c r="K118" s="219">
        <v>3235.0999999999985</v>
      </c>
      <c r="L118" s="219">
        <v>2896.8</v>
      </c>
      <c r="M118" s="219">
        <v>2603.72</v>
      </c>
      <c r="N118" s="219">
        <v>2588.08</v>
      </c>
      <c r="O118" s="220">
        <v>34855.78</v>
      </c>
    </row>
    <row r="119" spans="1:15" ht="12.75">
      <c r="A119" s="201" t="s">
        <v>29</v>
      </c>
      <c r="B119" s="202"/>
      <c r="C119" s="218">
        <v>-159.08321486908952</v>
      </c>
      <c r="D119" s="219">
        <v>-129.2509502138563</v>
      </c>
      <c r="E119" s="219">
        <v>-107.00993147535658</v>
      </c>
      <c r="F119" s="219">
        <v>-101.15002234665002</v>
      </c>
      <c r="G119" s="219">
        <v>-154.4219235167093</v>
      </c>
      <c r="H119" s="219">
        <v>-166.2083316505849</v>
      </c>
      <c r="I119" s="219">
        <v>-174.13252694963123</v>
      </c>
      <c r="J119" s="219">
        <v>-160.94773141004154</v>
      </c>
      <c r="K119" s="219">
        <v>-158.40066863534813</v>
      </c>
      <c r="L119" s="219">
        <v>-141.8364368652828</v>
      </c>
      <c r="M119" s="219">
        <v>-127.48631848759808</v>
      </c>
      <c r="N119" s="219">
        <v>-126.7205349082785</v>
      </c>
      <c r="O119" s="220">
        <v>-1706.6485913284266</v>
      </c>
    </row>
    <row r="120" spans="1:15" ht="12.75">
      <c r="A120" s="201" t="s">
        <v>30</v>
      </c>
      <c r="B120" s="202"/>
      <c r="C120" s="218">
        <v>2898.836785130911</v>
      </c>
      <c r="D120" s="219">
        <v>2355.229049786144</v>
      </c>
      <c r="E120" s="219">
        <v>1949.950068524644</v>
      </c>
      <c r="F120" s="219">
        <v>1843.1699776533503</v>
      </c>
      <c r="G120" s="219">
        <v>2813.898076483291</v>
      </c>
      <c r="H120" s="219">
        <v>3028.6716683494164</v>
      </c>
      <c r="I120" s="219">
        <v>3173.06747305037</v>
      </c>
      <c r="J120" s="219">
        <v>2932.812268589959</v>
      </c>
      <c r="K120" s="219">
        <v>2886.399331364652</v>
      </c>
      <c r="L120" s="219">
        <v>2584.5635631347177</v>
      </c>
      <c r="M120" s="219">
        <v>2323.0736815124023</v>
      </c>
      <c r="N120" s="219">
        <v>2309.119465091722</v>
      </c>
      <c r="O120" s="220">
        <v>31098.791408671586</v>
      </c>
    </row>
    <row r="121" spans="1:15" ht="12.75">
      <c r="A121" s="201" t="s">
        <v>63</v>
      </c>
      <c r="B121" s="202"/>
      <c r="C121" s="210">
        <v>6402.5199999999995</v>
      </c>
      <c r="D121" s="211">
        <v>5201.880000000001</v>
      </c>
      <c r="E121" s="211">
        <v>4306.760000000001</v>
      </c>
      <c r="F121" s="211">
        <v>4070.92</v>
      </c>
      <c r="G121" s="211">
        <v>6214.92</v>
      </c>
      <c r="H121" s="211">
        <v>6689.28</v>
      </c>
      <c r="I121" s="211">
        <v>7008.200000000002</v>
      </c>
      <c r="J121" s="211">
        <v>6477.5599999999995</v>
      </c>
      <c r="K121" s="211">
        <v>6375.050000000001</v>
      </c>
      <c r="L121" s="211">
        <v>5708.4</v>
      </c>
      <c r="M121" s="211">
        <v>5130.860000000001</v>
      </c>
      <c r="N121" s="211">
        <v>5100.040000000001</v>
      </c>
      <c r="O121" s="212">
        <v>68686.39000000001</v>
      </c>
    </row>
    <row r="122" spans="1:15" ht="12.75">
      <c r="A122" s="201" t="s">
        <v>91</v>
      </c>
      <c r="B122" s="202"/>
      <c r="C122" s="210">
        <v>6593.639999999999</v>
      </c>
      <c r="D122" s="211">
        <v>5357.159999999999</v>
      </c>
      <c r="E122" s="211">
        <v>4435.32</v>
      </c>
      <c r="F122" s="211">
        <v>4192.44</v>
      </c>
      <c r="G122" s="211">
        <v>6400.439999999999</v>
      </c>
      <c r="H122" s="211">
        <v>6888.96</v>
      </c>
      <c r="I122" s="211">
        <v>7217.399999999999</v>
      </c>
      <c r="J122" s="211">
        <v>6670.919999999999</v>
      </c>
      <c r="K122" s="211">
        <v>6565.349999999999</v>
      </c>
      <c r="L122" s="211">
        <v>5878.8</v>
      </c>
      <c r="M122" s="211">
        <v>5284.019999999999</v>
      </c>
      <c r="N122" s="211">
        <v>5252.280000000001</v>
      </c>
      <c r="O122" s="212">
        <v>70736.72999999998</v>
      </c>
    </row>
    <row r="123" spans="1:15" ht="12.75">
      <c r="A123" s="209" t="s">
        <v>93</v>
      </c>
      <c r="B123" s="237"/>
      <c r="C123" s="221">
        <v>191.11999999999856</v>
      </c>
      <c r="D123" s="222">
        <v>155.2799999999991</v>
      </c>
      <c r="E123" s="222">
        <v>128.55999999999966</v>
      </c>
      <c r="F123" s="222">
        <v>121.51999999999933</v>
      </c>
      <c r="G123" s="222">
        <v>185.519999999999</v>
      </c>
      <c r="H123" s="222">
        <v>199.6799999999987</v>
      </c>
      <c r="I123" s="222">
        <v>209.19999999999885</v>
      </c>
      <c r="J123" s="222">
        <v>193.3599999999992</v>
      </c>
      <c r="K123" s="222">
        <v>190.29999999999887</v>
      </c>
      <c r="L123" s="222">
        <v>170.39999999999955</v>
      </c>
      <c r="M123" s="222">
        <v>153.15999999999923</v>
      </c>
      <c r="N123" s="222">
        <v>152.23999999999958</v>
      </c>
      <c r="O123" s="223">
        <v>2050.3399999999892</v>
      </c>
    </row>
  </sheetData>
  <sheetProtection/>
  <printOptions/>
  <pageMargins left="0.5" right="0.5" top="0.73" bottom="0.98" header="0.5" footer="0.5"/>
  <pageSetup fitToHeight="0" fitToWidth="1" horizontalDpi="1200" verticalDpi="1200" orientation="landscape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20"/>
  <sheetViews>
    <sheetView showGridLines="0" zoomScaleSheetLayoutView="100" zoomScalePageLayoutView="0" workbookViewId="0" topLeftCell="A1">
      <selection activeCell="E10" sqref="E10"/>
    </sheetView>
  </sheetViews>
  <sheetFormatPr defaultColWidth="9.140625" defaultRowHeight="12.75"/>
  <cols>
    <col min="1" max="1" width="0.5625" style="0" customWidth="1"/>
    <col min="2" max="2" width="10.28125" style="0" bestFit="1" customWidth="1"/>
    <col min="3" max="3" width="10.7109375" style="0" bestFit="1" customWidth="1"/>
    <col min="4" max="4" width="11.00390625" style="3" customWidth="1"/>
    <col min="5" max="5" width="24.28125" style="0" customWidth="1"/>
    <col min="6" max="6" width="7.7109375" style="3" customWidth="1"/>
    <col min="7" max="7" width="6.7109375" style="3" customWidth="1"/>
    <col min="8" max="8" width="11.140625" style="3" bestFit="1" customWidth="1"/>
    <col min="9" max="9" width="11.28125" style="6" customWidth="1"/>
    <col min="10" max="10" width="13.7109375" style="3" customWidth="1"/>
    <col min="11" max="11" width="13.57421875" style="11" customWidth="1"/>
    <col min="12" max="12" width="14.7109375" style="3" customWidth="1"/>
    <col min="13" max="13" width="13.421875" style="10" bestFit="1" customWidth="1"/>
    <col min="14" max="17" width="13.421875" style="10" customWidth="1"/>
    <col min="18" max="18" width="15.57421875" style="13" customWidth="1"/>
  </cols>
  <sheetData>
    <row r="1" spans="2:18" ht="33.75">
      <c r="B1" s="5" t="s">
        <v>99</v>
      </c>
      <c r="C1" s="1"/>
      <c r="D1" s="4"/>
      <c r="E1" s="1"/>
      <c r="F1" s="156" t="s">
        <v>12</v>
      </c>
      <c r="G1" s="157"/>
      <c r="H1" s="158"/>
      <c r="I1" s="65"/>
      <c r="J1" s="66" t="str">
        <f>"True-Up ARR
(CY"&amp;R1&amp;")"</f>
        <v>True-Up ARR
(CY2018)</v>
      </c>
      <c r="K1" s="66" t="str">
        <f>"Projected ARR
(Jan'"&amp;RIGHT(R$1,2)&amp;" - Dec'"&amp;RIGHT(R$1,2)&amp;")"</f>
        <v>Projected ARR
(Jan'18 - Dec'18)</v>
      </c>
      <c r="L1" s="145" t="s">
        <v>47</v>
      </c>
      <c r="M1" s="153"/>
      <c r="N1" s="8"/>
      <c r="O1" s="8"/>
      <c r="P1" s="8"/>
      <c r="Q1" s="8"/>
      <c r="R1" s="180">
        <v>2018</v>
      </c>
    </row>
    <row r="2" spans="2:18" ht="12.75">
      <c r="B2" s="5" t="s">
        <v>54</v>
      </c>
      <c r="C2" s="1"/>
      <c r="D2" s="4"/>
      <c r="E2" s="1"/>
      <c r="F2" s="61">
        <v>9</v>
      </c>
      <c r="G2" s="239"/>
      <c r="H2" s="239"/>
      <c r="I2" s="130" t="s">
        <v>6</v>
      </c>
      <c r="J2" s="181">
        <v>103282.01036699112</v>
      </c>
      <c r="K2" s="181">
        <v>66148.18540174306</v>
      </c>
      <c r="L2" s="192"/>
      <c r="M2" s="148"/>
      <c r="N2" s="8"/>
      <c r="O2" s="8"/>
      <c r="P2" s="181">
        <v>67681.14619863074</v>
      </c>
      <c r="Q2" s="181"/>
      <c r="R2"/>
    </row>
    <row r="3" spans="2:18" ht="12.75">
      <c r="B3" s="5" t="str">
        <f>"for CY"&amp;R1&amp;" SPP Network Transmission Service"</f>
        <v>for CY2018 SPP Network Transmission Service</v>
      </c>
      <c r="C3" s="1"/>
      <c r="D3" s="4"/>
      <c r="E3" s="1"/>
      <c r="F3" s="61"/>
      <c r="G3" s="239"/>
      <c r="H3" s="239"/>
      <c r="I3" s="130" t="s">
        <v>10</v>
      </c>
      <c r="J3" s="182">
        <v>1.01</v>
      </c>
      <c r="K3" s="182">
        <v>0.67</v>
      </c>
      <c r="L3" s="146" t="str">
        <f>"Inv. Jan-Dec'"&amp;RIGHT(R1,2)</f>
        <v>Inv. Jan-Dec'18</v>
      </c>
      <c r="M3" s="148"/>
      <c r="N3" s="8"/>
      <c r="O3" s="8"/>
      <c r="P3" s="182">
        <v>0.69</v>
      </c>
      <c r="Q3" s="182"/>
      <c r="R3"/>
    </row>
    <row r="4" spans="2:18" ht="12.75">
      <c r="B4" s="57"/>
      <c r="C4" s="1"/>
      <c r="D4" s="4"/>
      <c r="E4" s="1"/>
      <c r="F4" s="61"/>
      <c r="G4" s="10"/>
      <c r="H4" s="10"/>
      <c r="I4" s="151"/>
      <c r="J4" s="10"/>
      <c r="K4" s="41"/>
      <c r="L4" s="10"/>
      <c r="M4" s="62"/>
      <c r="R4"/>
    </row>
    <row r="5" spans="2:18" ht="12.75">
      <c r="B5" s="57"/>
      <c r="C5" s="1"/>
      <c r="D5" s="4"/>
      <c r="E5" s="1"/>
      <c r="F5" s="61"/>
      <c r="G5" s="10"/>
      <c r="H5" s="10"/>
      <c r="I5" s="130"/>
      <c r="J5" s="10"/>
      <c r="K5" s="41"/>
      <c r="L5" s="10"/>
      <c r="M5" s="149"/>
      <c r="N5" s="227"/>
      <c r="O5" s="227"/>
      <c r="P5" s="227"/>
      <c r="Q5" s="227"/>
      <c r="R5" s="16"/>
    </row>
    <row r="6" spans="2:18" ht="12.75">
      <c r="B6" s="5" t="s">
        <v>23</v>
      </c>
      <c r="D6" s="4"/>
      <c r="E6" s="1"/>
      <c r="F6" s="159"/>
      <c r="G6" s="154"/>
      <c r="H6" s="155"/>
      <c r="I6" s="224"/>
      <c r="J6" s="225"/>
      <c r="K6" s="225"/>
      <c r="L6" s="226"/>
      <c r="M6" s="149"/>
      <c r="N6" s="227"/>
      <c r="O6" s="227"/>
      <c r="P6" s="227"/>
      <c r="Q6" s="227"/>
      <c r="R6"/>
    </row>
    <row r="7" spans="2:18" ht="12.75">
      <c r="B7" s="57" t="s">
        <v>79</v>
      </c>
      <c r="D7" s="4"/>
      <c r="E7" s="1"/>
      <c r="F7" s="61"/>
      <c r="G7" s="240"/>
      <c r="H7" s="239"/>
      <c r="I7" s="130"/>
      <c r="J7" s="78"/>
      <c r="K7" s="192"/>
      <c r="L7" s="192"/>
      <c r="M7" s="150"/>
      <c r="N7" s="228"/>
      <c r="O7" s="228"/>
      <c r="P7" s="228"/>
      <c r="Q7" s="228"/>
      <c r="R7"/>
    </row>
    <row r="8" spans="2:18" ht="12.75">
      <c r="B8" s="5"/>
      <c r="C8" s="1"/>
      <c r="D8" s="4"/>
      <c r="E8" s="1"/>
      <c r="F8" s="61"/>
      <c r="G8" s="239"/>
      <c r="H8" s="239"/>
      <c r="I8" s="130"/>
      <c r="J8" s="38"/>
      <c r="K8" s="192"/>
      <c r="L8" s="147"/>
      <c r="M8" s="148"/>
      <c r="N8" s="8"/>
      <c r="O8" s="8"/>
      <c r="P8" s="8"/>
      <c r="Q8" s="8"/>
      <c r="R8" s="16"/>
    </row>
    <row r="9" spans="2:18" ht="12.75">
      <c r="B9" s="25"/>
      <c r="C9" s="1"/>
      <c r="D9" s="4"/>
      <c r="E9" s="1"/>
      <c r="F9" s="61"/>
      <c r="G9" s="10"/>
      <c r="H9" s="10"/>
      <c r="I9" s="169"/>
      <c r="J9" s="170"/>
      <c r="K9" s="171"/>
      <c r="L9" s="172"/>
      <c r="M9" s="148"/>
      <c r="N9" s="8"/>
      <c r="O9" s="8"/>
      <c r="P9" s="8"/>
      <c r="Q9" s="8"/>
      <c r="R9" s="16"/>
    </row>
    <row r="10" spans="2:18" ht="13.5" thickBot="1">
      <c r="B10" s="57"/>
      <c r="D10"/>
      <c r="E10" s="26"/>
      <c r="F10" s="63"/>
      <c r="G10" s="64"/>
      <c r="H10" s="31"/>
      <c r="I10" s="173"/>
      <c r="J10" s="79"/>
      <c r="K10" s="79"/>
      <c r="L10" s="174"/>
      <c r="M10" s="152"/>
      <c r="R10" s="117"/>
    </row>
    <row r="11" spans="2:18" ht="12.75">
      <c r="B11" s="186" t="s">
        <v>98</v>
      </c>
      <c r="E11" s="26"/>
      <c r="L11" s="7"/>
      <c r="M11"/>
      <c r="N11"/>
      <c r="O11"/>
      <c r="P11"/>
      <c r="Q11"/>
      <c r="R11" s="16"/>
    </row>
    <row r="12" spans="5:18" ht="12.75">
      <c r="E12" s="26"/>
      <c r="L12" s="7"/>
      <c r="R12" s="116" t="s">
        <v>62</v>
      </c>
    </row>
    <row r="13" spans="5:18" ht="12.75">
      <c r="E13" s="26"/>
      <c r="F13" s="139"/>
      <c r="G13" s="140"/>
      <c r="H13" s="140"/>
      <c r="I13" s="136" t="s">
        <v>60</v>
      </c>
      <c r="J13" s="67">
        <f aca="true" t="shared" si="0" ref="J13:R13">SUM(J56:J211)</f>
        <v>25614.609999999997</v>
      </c>
      <c r="K13" s="67">
        <f t="shared" si="0"/>
        <v>16991.870000000003</v>
      </c>
      <c r="L13" s="72">
        <f t="shared" si="0"/>
        <v>8622.740000000009</v>
      </c>
      <c r="M13" s="68">
        <f t="shared" si="0"/>
        <v>-422.19646424183503</v>
      </c>
      <c r="N13" s="67">
        <f t="shared" si="0"/>
        <v>8200.54353575816</v>
      </c>
      <c r="O13" s="67">
        <f t="shared" si="0"/>
        <v>107.63999999999977</v>
      </c>
      <c r="P13" s="67">
        <f t="shared" si="0"/>
        <v>17499.08999999999</v>
      </c>
      <c r="Q13" s="67">
        <f t="shared" si="0"/>
        <v>507.2199999999973</v>
      </c>
      <c r="R13" s="72">
        <f t="shared" si="0"/>
        <v>7693.323535758164</v>
      </c>
    </row>
    <row r="14" spans="5:18" ht="12.75">
      <c r="E14" s="26"/>
      <c r="F14" s="42"/>
      <c r="G14" s="42"/>
      <c r="H14" s="42"/>
      <c r="I14" s="138" t="s">
        <v>61</v>
      </c>
      <c r="J14" s="67">
        <f>SUM(J20:J211)</f>
        <v>103542.16999999993</v>
      </c>
      <c r="K14" s="67">
        <f>SUM(K20:K211)</f>
        <v>68686.38999999997</v>
      </c>
      <c r="L14" s="72">
        <f>SUM(L20:L211)</f>
        <v>34855.779999999955</v>
      </c>
      <c r="M14" s="68">
        <v>-1706.6485913284268</v>
      </c>
      <c r="N14" s="67">
        <f>SUM(N20:N211)</f>
        <v>33149.13140867156</v>
      </c>
      <c r="O14" s="67">
        <f>SUM(O20:O211)</f>
        <v>132.4799999999997</v>
      </c>
      <c r="P14" s="67">
        <f>SUM(P20:P211)</f>
        <v>70736.7300000001</v>
      </c>
      <c r="Q14" s="67">
        <f>SUM(Q20:Q211)</f>
        <v>2050.3399999999897</v>
      </c>
      <c r="R14" s="72">
        <f>SUM(R20:R211)</f>
        <v>31098.79140867161</v>
      </c>
    </row>
    <row r="15" spans="2:18" ht="12.75">
      <c r="B15" s="58" t="s">
        <v>84</v>
      </c>
      <c r="E15" s="26"/>
      <c r="J15" s="6"/>
      <c r="L15" s="7"/>
      <c r="M15" s="17"/>
      <c r="N15" s="17"/>
      <c r="O15" s="17"/>
      <c r="P15" s="17"/>
      <c r="Q15" s="17"/>
      <c r="R15" s="73" t="s">
        <v>20</v>
      </c>
    </row>
    <row r="16" spans="2:18" ht="12.75">
      <c r="B16" s="80" t="str">
        <f>"** Actual Trued-Up CY"&amp;R1&amp;" Charge reflects "&amp;R1&amp;" True-UP Rate x MW"</f>
        <v>** Actual Trued-Up CY2018 Charge reflects 2018 True-UP Rate x MW</v>
      </c>
      <c r="E16" s="26"/>
      <c r="F16" s="10"/>
      <c r="G16" s="2"/>
      <c r="J16" s="36"/>
      <c r="L16" s="43" t="s">
        <v>11</v>
      </c>
      <c r="M16" s="17"/>
      <c r="N16" s="17"/>
      <c r="O16" s="17"/>
      <c r="P16" s="17"/>
      <c r="Q16" s="17"/>
      <c r="R16" s="18"/>
    </row>
    <row r="17" spans="2:18" ht="12.75">
      <c r="B17" s="40" t="s">
        <v>64</v>
      </c>
      <c r="E17" s="26"/>
      <c r="I17" s="22"/>
      <c r="J17" s="32"/>
      <c r="K17" s="21"/>
      <c r="L17" s="21"/>
      <c r="M17" s="21"/>
      <c r="N17" s="21"/>
      <c r="O17" s="21"/>
      <c r="P17" s="21"/>
      <c r="Q17" s="21"/>
      <c r="R17" s="56"/>
    </row>
    <row r="18" spans="9:18" ht="3" customHeight="1">
      <c r="I18" s="33"/>
      <c r="J18" s="32"/>
      <c r="K18" s="33"/>
      <c r="L18" s="33"/>
      <c r="M18" s="12"/>
      <c r="N18" s="12"/>
      <c r="O18" s="12"/>
      <c r="P18" s="12"/>
      <c r="Q18" s="12"/>
      <c r="R18" s="14"/>
    </row>
    <row r="19" spans="2:18" ht="38.25" customHeight="1">
      <c r="B19" s="49" t="s">
        <v>55</v>
      </c>
      <c r="C19" s="50" t="s">
        <v>4</v>
      </c>
      <c r="D19" s="50" t="s">
        <v>5</v>
      </c>
      <c r="E19" s="51" t="s">
        <v>0</v>
      </c>
      <c r="F19" s="55" t="s">
        <v>12</v>
      </c>
      <c r="G19" s="52" t="s">
        <v>1</v>
      </c>
      <c r="H19" s="129" t="s">
        <v>50</v>
      </c>
      <c r="I19" s="129" t="s">
        <v>48</v>
      </c>
      <c r="J19" s="142" t="str">
        <f>"True-Up Charge"</f>
        <v>True-Up Charge</v>
      </c>
      <c r="K19" s="142" t="s">
        <v>49</v>
      </c>
      <c r="L19" s="53" t="s">
        <v>3</v>
      </c>
      <c r="M19" s="54" t="s">
        <v>7</v>
      </c>
      <c r="N19" s="229" t="s">
        <v>89</v>
      </c>
      <c r="O19" s="229" t="s">
        <v>86</v>
      </c>
      <c r="P19" s="229" t="s">
        <v>87</v>
      </c>
      <c r="Q19" s="229" t="s">
        <v>88</v>
      </c>
      <c r="R19" s="24" t="s">
        <v>2</v>
      </c>
    </row>
    <row r="20" spans="1:18" s="8" customFormat="1" ht="12.75" customHeight="1">
      <c r="A20" s="10">
        <v>1</v>
      </c>
      <c r="B20" s="9">
        <f>DATE($R$1,A20,1)</f>
        <v>43101</v>
      </c>
      <c r="C20" s="195">
        <v>43136</v>
      </c>
      <c r="D20" s="195">
        <v>43151</v>
      </c>
      <c r="E20" s="60" t="s">
        <v>21</v>
      </c>
      <c r="F20" s="10">
        <v>9</v>
      </c>
      <c r="G20" s="198">
        <v>3179</v>
      </c>
      <c r="H20" s="127">
        <f aca="true" t="shared" si="1" ref="H20:H83">$K$3</f>
        <v>0.67</v>
      </c>
      <c r="I20" s="127">
        <f aca="true" t="shared" si="2" ref="I20:I63">$J$3</f>
        <v>1.01</v>
      </c>
      <c r="J20" s="28">
        <f aca="true" t="shared" si="3" ref="J20:J108">+$G20*I20</f>
        <v>3210.79</v>
      </c>
      <c r="K20" s="29">
        <f>+$G20*H20</f>
        <v>2129.9300000000003</v>
      </c>
      <c r="L20" s="30">
        <f aca="true" t="shared" si="4" ref="L20:L34">+J20-K20</f>
        <v>1080.8599999999997</v>
      </c>
      <c r="M20" s="27">
        <f>G20/$G$212*$M$14</f>
        <v>-52.92230431863075</v>
      </c>
      <c r="N20" s="19">
        <f>SUM(L20:M20)</f>
        <v>1027.937695681369</v>
      </c>
      <c r="O20" s="27">
        <f>+$P$3</f>
        <v>0.69</v>
      </c>
      <c r="P20" s="27">
        <f>+G20*O20</f>
        <v>2193.5099999999998</v>
      </c>
      <c r="Q20" s="27">
        <f>+P20-K20</f>
        <v>63.57999999999947</v>
      </c>
      <c r="R20" s="19">
        <f>+N20-Q20</f>
        <v>964.3576956813695</v>
      </c>
    </row>
    <row r="21" spans="1:18" ht="12.75">
      <c r="A21" s="3">
        <v>2</v>
      </c>
      <c r="B21" s="9">
        <f aca="true" t="shared" si="5" ref="B21:B108">DATE($R$1,A21,1)</f>
        <v>43132</v>
      </c>
      <c r="C21" s="195">
        <v>43164</v>
      </c>
      <c r="D21" s="195">
        <v>43179</v>
      </c>
      <c r="E21" s="35" t="s">
        <v>21</v>
      </c>
      <c r="F21" s="3">
        <v>9</v>
      </c>
      <c r="G21" s="198">
        <v>2790</v>
      </c>
      <c r="H21" s="127">
        <f t="shared" si="1"/>
        <v>0.67</v>
      </c>
      <c r="I21" s="127">
        <f t="shared" si="2"/>
        <v>1.01</v>
      </c>
      <c r="J21" s="28">
        <f t="shared" si="3"/>
        <v>2817.9</v>
      </c>
      <c r="K21" s="29">
        <f aca="true" t="shared" si="6" ref="K21:K33">+$G21*H21</f>
        <v>1869.3000000000002</v>
      </c>
      <c r="L21" s="30">
        <f t="shared" si="4"/>
        <v>948.5999999999999</v>
      </c>
      <c r="M21" s="27">
        <f aca="true" t="shared" si="7" ref="M21:M84">G21/$G$212*$M$14</f>
        <v>-46.44643883264542</v>
      </c>
      <c r="N21" s="19">
        <f aca="true" t="shared" si="8" ref="N21:N84">SUM(L21:M21)</f>
        <v>902.1535611673545</v>
      </c>
      <c r="O21" s="27">
        <f aca="true" t="shared" si="9" ref="O21:O84">+$P$3</f>
        <v>0.69</v>
      </c>
      <c r="P21" s="27">
        <f aca="true" t="shared" si="10" ref="P21:P84">+G21*O21</f>
        <v>1925.1</v>
      </c>
      <c r="Q21" s="27">
        <f aca="true" t="shared" si="11" ref="Q21:Q84">+P21-K21</f>
        <v>55.79999999999973</v>
      </c>
      <c r="R21" s="19">
        <f aca="true" t="shared" si="12" ref="R21:R84">+N21-Q21</f>
        <v>846.3535611673548</v>
      </c>
    </row>
    <row r="22" spans="1:18" ht="12.75">
      <c r="A22" s="3">
        <v>3</v>
      </c>
      <c r="B22" s="9">
        <f t="shared" si="5"/>
        <v>43160</v>
      </c>
      <c r="C22" s="195">
        <v>43194</v>
      </c>
      <c r="D22" s="195">
        <v>43209</v>
      </c>
      <c r="E22" s="35" t="s">
        <v>21</v>
      </c>
      <c r="F22" s="3">
        <v>9</v>
      </c>
      <c r="G22" s="198">
        <v>2269</v>
      </c>
      <c r="H22" s="127">
        <f t="shared" si="1"/>
        <v>0.67</v>
      </c>
      <c r="I22" s="127">
        <f t="shared" si="2"/>
        <v>1.01</v>
      </c>
      <c r="J22" s="28">
        <f t="shared" si="3"/>
        <v>2291.69</v>
      </c>
      <c r="K22" s="29">
        <f t="shared" si="6"/>
        <v>1520.23</v>
      </c>
      <c r="L22" s="30">
        <f t="shared" si="4"/>
        <v>771.46</v>
      </c>
      <c r="M22" s="27">
        <f t="shared" si="7"/>
        <v>-37.773107423395146</v>
      </c>
      <c r="N22" s="19">
        <f t="shared" si="8"/>
        <v>733.6868925766049</v>
      </c>
      <c r="O22" s="27">
        <f t="shared" si="9"/>
        <v>0.69</v>
      </c>
      <c r="P22" s="27">
        <f t="shared" si="10"/>
        <v>1565.61</v>
      </c>
      <c r="Q22" s="27">
        <f t="shared" si="11"/>
        <v>45.37999999999988</v>
      </c>
      <c r="R22" s="19">
        <f t="shared" si="12"/>
        <v>688.306892576605</v>
      </c>
    </row>
    <row r="23" spans="1:18" ht="12.75">
      <c r="A23" s="10">
        <v>4</v>
      </c>
      <c r="B23" s="9">
        <f t="shared" si="5"/>
        <v>43191</v>
      </c>
      <c r="C23" s="195">
        <v>43223</v>
      </c>
      <c r="D23" s="195">
        <v>43238</v>
      </c>
      <c r="E23" s="35" t="s">
        <v>21</v>
      </c>
      <c r="F23" s="3">
        <v>9</v>
      </c>
      <c r="G23" s="198">
        <v>2377</v>
      </c>
      <c r="H23" s="127">
        <f t="shared" si="1"/>
        <v>0.67</v>
      </c>
      <c r="I23" s="127">
        <f t="shared" si="2"/>
        <v>1.01</v>
      </c>
      <c r="J23" s="28">
        <f t="shared" si="3"/>
        <v>2400.77</v>
      </c>
      <c r="K23" s="29">
        <f t="shared" si="6"/>
        <v>1592.5900000000001</v>
      </c>
      <c r="L23" s="30">
        <f t="shared" si="4"/>
        <v>808.1799999999998</v>
      </c>
      <c r="M23" s="27">
        <f t="shared" si="7"/>
        <v>-39.57103408788465</v>
      </c>
      <c r="N23" s="19">
        <f t="shared" si="8"/>
        <v>768.6089659121152</v>
      </c>
      <c r="O23" s="27">
        <f t="shared" si="9"/>
        <v>0.69</v>
      </c>
      <c r="P23" s="27">
        <f t="shared" si="10"/>
        <v>1640.1299999999999</v>
      </c>
      <c r="Q23" s="27">
        <f t="shared" si="11"/>
        <v>47.539999999999736</v>
      </c>
      <c r="R23" s="19">
        <f t="shared" si="12"/>
        <v>721.0689659121155</v>
      </c>
    </row>
    <row r="24" spans="1:18" ht="12" customHeight="1">
      <c r="A24" s="3">
        <v>5</v>
      </c>
      <c r="B24" s="9">
        <f t="shared" si="5"/>
        <v>43221</v>
      </c>
      <c r="C24" s="195">
        <v>43256</v>
      </c>
      <c r="D24" s="195">
        <v>43271</v>
      </c>
      <c r="E24" s="20" t="s">
        <v>21</v>
      </c>
      <c r="F24" s="3">
        <v>9</v>
      </c>
      <c r="G24" s="198">
        <v>3597</v>
      </c>
      <c r="H24" s="127">
        <f t="shared" si="1"/>
        <v>0.67</v>
      </c>
      <c r="I24" s="127">
        <f t="shared" si="2"/>
        <v>1.01</v>
      </c>
      <c r="J24" s="28">
        <f t="shared" si="3"/>
        <v>3632.9700000000003</v>
      </c>
      <c r="K24" s="29">
        <f t="shared" si="6"/>
        <v>2409.9900000000002</v>
      </c>
      <c r="L24" s="30">
        <f t="shared" si="4"/>
        <v>1222.98</v>
      </c>
      <c r="M24" s="27">
        <f t="shared" si="7"/>
        <v>-59.88094640896974</v>
      </c>
      <c r="N24" s="19">
        <f t="shared" si="8"/>
        <v>1163.0990535910303</v>
      </c>
      <c r="O24" s="27">
        <f t="shared" si="9"/>
        <v>0.69</v>
      </c>
      <c r="P24" s="27">
        <f t="shared" si="10"/>
        <v>2481.93</v>
      </c>
      <c r="Q24" s="27">
        <f t="shared" si="11"/>
        <v>71.9399999999996</v>
      </c>
      <c r="R24" s="19">
        <f t="shared" si="12"/>
        <v>1091.1590535910307</v>
      </c>
    </row>
    <row r="25" spans="1:18" ht="12.75">
      <c r="A25" s="3">
        <v>6</v>
      </c>
      <c r="B25" s="9">
        <f t="shared" si="5"/>
        <v>43252</v>
      </c>
      <c r="C25" s="195">
        <v>43286</v>
      </c>
      <c r="D25" s="195">
        <v>43301</v>
      </c>
      <c r="E25" s="20" t="s">
        <v>21</v>
      </c>
      <c r="F25" s="3">
        <v>9</v>
      </c>
      <c r="G25" s="198">
        <v>3911</v>
      </c>
      <c r="H25" s="127">
        <f t="shared" si="1"/>
        <v>0.67</v>
      </c>
      <c r="I25" s="127">
        <f t="shared" si="2"/>
        <v>1.01</v>
      </c>
      <c r="J25" s="28">
        <f t="shared" si="3"/>
        <v>3950.11</v>
      </c>
      <c r="K25" s="29">
        <f t="shared" si="6"/>
        <v>2620.3700000000003</v>
      </c>
      <c r="L25" s="39">
        <f t="shared" si="4"/>
        <v>1329.7399999999998</v>
      </c>
      <c r="M25" s="27">
        <f t="shared" si="7"/>
        <v>-65.10825171128181</v>
      </c>
      <c r="N25" s="19">
        <f t="shared" si="8"/>
        <v>1264.631748288718</v>
      </c>
      <c r="O25" s="27">
        <f t="shared" si="9"/>
        <v>0.69</v>
      </c>
      <c r="P25" s="27">
        <f t="shared" si="10"/>
        <v>2698.5899999999997</v>
      </c>
      <c r="Q25" s="27">
        <f t="shared" si="11"/>
        <v>78.21999999999935</v>
      </c>
      <c r="R25" s="19">
        <f t="shared" si="12"/>
        <v>1186.4117482887186</v>
      </c>
    </row>
    <row r="26" spans="1:18" ht="12.75">
      <c r="A26" s="10">
        <v>7</v>
      </c>
      <c r="B26" s="9">
        <f t="shared" si="5"/>
        <v>43282</v>
      </c>
      <c r="C26" s="195">
        <v>43315</v>
      </c>
      <c r="D26" s="195">
        <v>43330</v>
      </c>
      <c r="E26" s="20" t="s">
        <v>21</v>
      </c>
      <c r="F26" s="3">
        <v>9</v>
      </c>
      <c r="G26" s="198">
        <v>4095</v>
      </c>
      <c r="H26" s="127">
        <f t="shared" si="1"/>
        <v>0.67</v>
      </c>
      <c r="I26" s="127">
        <f t="shared" si="2"/>
        <v>1.01</v>
      </c>
      <c r="J26" s="28">
        <f t="shared" si="3"/>
        <v>4135.95</v>
      </c>
      <c r="K26" s="37">
        <f t="shared" si="6"/>
        <v>2743.65</v>
      </c>
      <c r="L26" s="39">
        <f t="shared" si="4"/>
        <v>1392.2999999999997</v>
      </c>
      <c r="M26" s="27">
        <f t="shared" si="7"/>
        <v>-68.17138602856022</v>
      </c>
      <c r="N26" s="19">
        <f t="shared" si="8"/>
        <v>1324.1286139714396</v>
      </c>
      <c r="O26" s="27">
        <f t="shared" si="9"/>
        <v>0.69</v>
      </c>
      <c r="P26" s="27">
        <f t="shared" si="10"/>
        <v>2825.5499999999997</v>
      </c>
      <c r="Q26" s="27">
        <f t="shared" si="11"/>
        <v>81.89999999999964</v>
      </c>
      <c r="R26" s="19">
        <f t="shared" si="12"/>
        <v>1242.22861397144</v>
      </c>
    </row>
    <row r="27" spans="1:18" ht="12.75">
      <c r="A27" s="3">
        <v>8</v>
      </c>
      <c r="B27" s="9">
        <f t="shared" si="5"/>
        <v>43313</v>
      </c>
      <c r="C27" s="195">
        <v>43348</v>
      </c>
      <c r="D27" s="195">
        <v>43363</v>
      </c>
      <c r="E27" s="20" t="s">
        <v>21</v>
      </c>
      <c r="F27" s="3">
        <v>9</v>
      </c>
      <c r="G27" s="198">
        <v>3816</v>
      </c>
      <c r="H27" s="127">
        <f t="shared" si="1"/>
        <v>0.67</v>
      </c>
      <c r="I27" s="127">
        <f t="shared" si="2"/>
        <v>1.01</v>
      </c>
      <c r="J27" s="28">
        <f t="shared" si="3"/>
        <v>3854.16</v>
      </c>
      <c r="K27" s="37">
        <f t="shared" si="6"/>
        <v>2556.7200000000003</v>
      </c>
      <c r="L27" s="39">
        <f t="shared" si="4"/>
        <v>1297.4399999999996</v>
      </c>
      <c r="M27" s="27">
        <f t="shared" si="7"/>
        <v>-63.52674214529567</v>
      </c>
      <c r="N27" s="19">
        <f t="shared" si="8"/>
        <v>1233.913257854704</v>
      </c>
      <c r="O27" s="27">
        <f t="shared" si="9"/>
        <v>0.69</v>
      </c>
      <c r="P27" s="27">
        <f t="shared" si="10"/>
        <v>2633.04</v>
      </c>
      <c r="Q27" s="27">
        <f t="shared" si="11"/>
        <v>76.31999999999971</v>
      </c>
      <c r="R27" s="19">
        <f t="shared" si="12"/>
        <v>1157.5932578547042</v>
      </c>
    </row>
    <row r="28" spans="1:18" ht="12.75">
      <c r="A28" s="3">
        <v>9</v>
      </c>
      <c r="B28" s="9">
        <f t="shared" si="5"/>
        <v>43344</v>
      </c>
      <c r="C28" s="195">
        <v>43376</v>
      </c>
      <c r="D28" s="195">
        <v>43391</v>
      </c>
      <c r="E28" s="20" t="s">
        <v>21</v>
      </c>
      <c r="F28" s="3">
        <v>9</v>
      </c>
      <c r="G28" s="198">
        <v>3735</v>
      </c>
      <c r="H28" s="127">
        <f t="shared" si="1"/>
        <v>0.67</v>
      </c>
      <c r="I28" s="127">
        <f t="shared" si="2"/>
        <v>1.01</v>
      </c>
      <c r="J28" s="28">
        <f t="shared" si="3"/>
        <v>3772.35</v>
      </c>
      <c r="K28" s="37">
        <f t="shared" si="6"/>
        <v>2502.4500000000003</v>
      </c>
      <c r="L28" s="39">
        <f t="shared" si="4"/>
        <v>1269.8999999999996</v>
      </c>
      <c r="M28" s="27">
        <f t="shared" si="7"/>
        <v>-62.17829714692855</v>
      </c>
      <c r="N28" s="19">
        <f t="shared" si="8"/>
        <v>1207.721702853071</v>
      </c>
      <c r="O28" s="27">
        <f t="shared" si="9"/>
        <v>0.69</v>
      </c>
      <c r="P28" s="27">
        <f t="shared" si="10"/>
        <v>2577.1499999999996</v>
      </c>
      <c r="Q28" s="27">
        <f t="shared" si="11"/>
        <v>74.69999999999936</v>
      </c>
      <c r="R28" s="19">
        <f t="shared" si="12"/>
        <v>1133.0217028530717</v>
      </c>
    </row>
    <row r="29" spans="1:18" ht="12.75">
      <c r="A29" s="10">
        <v>10</v>
      </c>
      <c r="B29" s="9">
        <f t="shared" si="5"/>
        <v>43374</v>
      </c>
      <c r="C29" s="195">
        <v>43409</v>
      </c>
      <c r="D29" s="195">
        <v>43424</v>
      </c>
      <c r="E29" s="20" t="s">
        <v>21</v>
      </c>
      <c r="F29" s="3">
        <v>9</v>
      </c>
      <c r="G29" s="198">
        <v>3357</v>
      </c>
      <c r="H29" s="127">
        <f t="shared" si="1"/>
        <v>0.67</v>
      </c>
      <c r="I29" s="127">
        <f t="shared" si="2"/>
        <v>1.01</v>
      </c>
      <c r="J29" s="28">
        <f t="shared" si="3"/>
        <v>3390.57</v>
      </c>
      <c r="K29" s="37">
        <f t="shared" si="6"/>
        <v>2249.19</v>
      </c>
      <c r="L29" s="39">
        <f t="shared" si="4"/>
        <v>1141.38</v>
      </c>
      <c r="M29" s="27">
        <f t="shared" si="7"/>
        <v>-55.8855538212153</v>
      </c>
      <c r="N29" s="19">
        <f t="shared" si="8"/>
        <v>1085.4944461787848</v>
      </c>
      <c r="O29" s="27">
        <f t="shared" si="9"/>
        <v>0.69</v>
      </c>
      <c r="P29" s="27">
        <f t="shared" si="10"/>
        <v>2316.33</v>
      </c>
      <c r="Q29" s="27">
        <f t="shared" si="11"/>
        <v>67.13999999999987</v>
      </c>
      <c r="R29" s="19">
        <f t="shared" si="12"/>
        <v>1018.3544461787849</v>
      </c>
    </row>
    <row r="30" spans="1:18" ht="12.75">
      <c r="A30" s="3">
        <v>11</v>
      </c>
      <c r="B30" s="9">
        <f t="shared" si="5"/>
        <v>43405</v>
      </c>
      <c r="C30" s="195">
        <v>43439</v>
      </c>
      <c r="D30" s="195">
        <v>43454</v>
      </c>
      <c r="E30" s="20" t="s">
        <v>21</v>
      </c>
      <c r="F30" s="3">
        <v>9</v>
      </c>
      <c r="G30" s="198">
        <v>2564</v>
      </c>
      <c r="H30" s="127">
        <f t="shared" si="1"/>
        <v>0.67</v>
      </c>
      <c r="I30" s="127">
        <f t="shared" si="2"/>
        <v>1.01</v>
      </c>
      <c r="J30" s="28">
        <f t="shared" si="3"/>
        <v>2589.64</v>
      </c>
      <c r="K30" s="37">
        <f t="shared" si="6"/>
        <v>1717.88</v>
      </c>
      <c r="L30" s="39">
        <f t="shared" si="4"/>
        <v>871.7599999999998</v>
      </c>
      <c r="M30" s="27">
        <f t="shared" si="7"/>
        <v>-42.684110812509985</v>
      </c>
      <c r="N30" s="19">
        <f t="shared" si="8"/>
        <v>829.0758891874898</v>
      </c>
      <c r="O30" s="27">
        <f t="shared" si="9"/>
        <v>0.69</v>
      </c>
      <c r="P30" s="27">
        <f t="shared" si="10"/>
        <v>1769.1599999999999</v>
      </c>
      <c r="Q30" s="27">
        <f t="shared" si="11"/>
        <v>51.279999999999745</v>
      </c>
      <c r="R30" s="19">
        <f t="shared" si="12"/>
        <v>777.79588918749</v>
      </c>
    </row>
    <row r="31" spans="1:18" ht="12.75">
      <c r="A31" s="3">
        <v>12</v>
      </c>
      <c r="B31" s="9">
        <f t="shared" si="5"/>
        <v>43435</v>
      </c>
      <c r="C31" s="196">
        <v>43468</v>
      </c>
      <c r="D31" s="197">
        <v>43483</v>
      </c>
      <c r="E31" s="20" t="s">
        <v>21</v>
      </c>
      <c r="F31" s="3">
        <v>9</v>
      </c>
      <c r="G31" s="199">
        <v>2578</v>
      </c>
      <c r="H31" s="127">
        <f t="shared" si="1"/>
        <v>0.67</v>
      </c>
      <c r="I31" s="128">
        <f t="shared" si="2"/>
        <v>1.01</v>
      </c>
      <c r="J31" s="46">
        <f t="shared" si="3"/>
        <v>2603.78</v>
      </c>
      <c r="K31" s="47">
        <f t="shared" si="6"/>
        <v>1727.26</v>
      </c>
      <c r="L31" s="48">
        <f t="shared" si="4"/>
        <v>876.5200000000002</v>
      </c>
      <c r="M31" s="27">
        <f t="shared" si="7"/>
        <v>-42.917175380129</v>
      </c>
      <c r="N31" s="19">
        <f t="shared" si="8"/>
        <v>833.6028246198712</v>
      </c>
      <c r="O31" s="27">
        <f t="shared" si="9"/>
        <v>0.69</v>
      </c>
      <c r="P31" s="27">
        <f t="shared" si="10"/>
        <v>1778.82</v>
      </c>
      <c r="Q31" s="27">
        <f t="shared" si="11"/>
        <v>51.559999999999945</v>
      </c>
      <c r="R31" s="19">
        <f t="shared" si="12"/>
        <v>782.0428246198712</v>
      </c>
    </row>
    <row r="32" spans="1:18" ht="12.75">
      <c r="A32" s="10">
        <v>1</v>
      </c>
      <c r="B32" s="74">
        <f t="shared" si="5"/>
        <v>43101</v>
      </c>
      <c r="C32" s="125">
        <f aca="true" t="shared" si="13" ref="C32:D43">+C20</f>
        <v>43136</v>
      </c>
      <c r="D32" s="125">
        <f t="shared" si="13"/>
        <v>43151</v>
      </c>
      <c r="E32" s="75" t="s">
        <v>22</v>
      </c>
      <c r="F32" s="76">
        <v>9</v>
      </c>
      <c r="G32" s="198">
        <v>3410</v>
      </c>
      <c r="H32" s="127">
        <f t="shared" si="1"/>
        <v>0.67</v>
      </c>
      <c r="I32" s="127">
        <f t="shared" si="2"/>
        <v>1.01</v>
      </c>
      <c r="J32" s="28">
        <f t="shared" si="3"/>
        <v>3444.1</v>
      </c>
      <c r="K32" s="29">
        <f t="shared" si="6"/>
        <v>2284.7000000000003</v>
      </c>
      <c r="L32" s="30">
        <f t="shared" si="4"/>
        <v>1159.3999999999996</v>
      </c>
      <c r="M32" s="27">
        <f t="shared" si="7"/>
        <v>-56.76786968434441</v>
      </c>
      <c r="N32" s="19">
        <f t="shared" si="8"/>
        <v>1102.6321303156553</v>
      </c>
      <c r="O32" s="27">
        <f t="shared" si="9"/>
        <v>0.69</v>
      </c>
      <c r="P32" s="27">
        <f t="shared" si="10"/>
        <v>2352.8999999999996</v>
      </c>
      <c r="Q32" s="27">
        <f t="shared" si="11"/>
        <v>68.19999999999936</v>
      </c>
      <c r="R32" s="19">
        <f t="shared" si="12"/>
        <v>1034.432130315656</v>
      </c>
    </row>
    <row r="33" spans="1:18" ht="12.75">
      <c r="A33" s="3">
        <v>2</v>
      </c>
      <c r="B33" s="9">
        <f t="shared" si="5"/>
        <v>43132</v>
      </c>
      <c r="C33" s="126">
        <f t="shared" si="13"/>
        <v>43164</v>
      </c>
      <c r="D33" s="126">
        <f t="shared" si="13"/>
        <v>43179</v>
      </c>
      <c r="E33" s="35" t="s">
        <v>22</v>
      </c>
      <c r="F33" s="3">
        <v>9</v>
      </c>
      <c r="G33" s="198">
        <v>2792</v>
      </c>
      <c r="H33" s="127">
        <f t="shared" si="1"/>
        <v>0.67</v>
      </c>
      <c r="I33" s="127">
        <f t="shared" si="2"/>
        <v>1.01</v>
      </c>
      <c r="J33" s="28">
        <f t="shared" si="3"/>
        <v>2819.92</v>
      </c>
      <c r="K33" s="29">
        <f t="shared" si="6"/>
        <v>1870.64</v>
      </c>
      <c r="L33" s="30">
        <f t="shared" si="4"/>
        <v>949.28</v>
      </c>
      <c r="M33" s="27">
        <f t="shared" si="7"/>
        <v>-46.479733770876706</v>
      </c>
      <c r="N33" s="19">
        <f t="shared" si="8"/>
        <v>902.8002662291233</v>
      </c>
      <c r="O33" s="27">
        <f t="shared" si="9"/>
        <v>0.69</v>
      </c>
      <c r="P33" s="27">
        <f t="shared" si="10"/>
        <v>1926.4799999999998</v>
      </c>
      <c r="Q33" s="27">
        <f t="shared" si="11"/>
        <v>55.83999999999969</v>
      </c>
      <c r="R33" s="19">
        <f t="shared" si="12"/>
        <v>846.9602662291236</v>
      </c>
    </row>
    <row r="34" spans="1:18" ht="12.75">
      <c r="A34" s="3">
        <v>3</v>
      </c>
      <c r="B34" s="9">
        <f t="shared" si="5"/>
        <v>43160</v>
      </c>
      <c r="C34" s="126">
        <f t="shared" si="13"/>
        <v>43194</v>
      </c>
      <c r="D34" s="126">
        <f t="shared" si="13"/>
        <v>43209</v>
      </c>
      <c r="E34" s="35" t="s">
        <v>22</v>
      </c>
      <c r="F34" s="3">
        <v>9</v>
      </c>
      <c r="G34" s="198">
        <v>2328</v>
      </c>
      <c r="H34" s="127">
        <f t="shared" si="1"/>
        <v>0.67</v>
      </c>
      <c r="I34" s="127">
        <f t="shared" si="2"/>
        <v>1.01</v>
      </c>
      <c r="J34" s="28">
        <f t="shared" si="3"/>
        <v>2351.28</v>
      </c>
      <c r="K34" s="29">
        <f aca="true" t="shared" si="14" ref="K34:K93">+$G34*H34</f>
        <v>1559.76</v>
      </c>
      <c r="L34" s="30">
        <f t="shared" si="4"/>
        <v>791.5200000000002</v>
      </c>
      <c r="M34" s="27">
        <f t="shared" si="7"/>
        <v>-38.75530810121812</v>
      </c>
      <c r="N34" s="19">
        <f t="shared" si="8"/>
        <v>752.7646918987821</v>
      </c>
      <c r="O34" s="27">
        <f t="shared" si="9"/>
        <v>0.69</v>
      </c>
      <c r="P34" s="27">
        <f t="shared" si="10"/>
        <v>1606.32</v>
      </c>
      <c r="Q34" s="27">
        <f t="shared" si="11"/>
        <v>46.559999999999945</v>
      </c>
      <c r="R34" s="19">
        <f t="shared" si="12"/>
        <v>706.2046918987821</v>
      </c>
    </row>
    <row r="35" spans="1:18" ht="12.75">
      <c r="A35" s="10">
        <v>4</v>
      </c>
      <c r="B35" s="9">
        <f t="shared" si="5"/>
        <v>43191</v>
      </c>
      <c r="C35" s="126">
        <f t="shared" si="13"/>
        <v>43223</v>
      </c>
      <c r="D35" s="126">
        <f t="shared" si="13"/>
        <v>43238</v>
      </c>
      <c r="E35" s="35" t="s">
        <v>22</v>
      </c>
      <c r="F35" s="3">
        <v>9</v>
      </c>
      <c r="G35" s="198">
        <v>2312</v>
      </c>
      <c r="H35" s="127">
        <f t="shared" si="1"/>
        <v>0.67</v>
      </c>
      <c r="I35" s="127">
        <f t="shared" si="2"/>
        <v>1.01</v>
      </c>
      <c r="J35" s="28">
        <f t="shared" si="3"/>
        <v>2335.12</v>
      </c>
      <c r="K35" s="29">
        <f t="shared" si="14"/>
        <v>1549.0400000000002</v>
      </c>
      <c r="L35" s="30">
        <f aca="true" t="shared" si="15" ref="L35:L57">+J35-K35</f>
        <v>786.0799999999997</v>
      </c>
      <c r="M35" s="27">
        <f t="shared" si="7"/>
        <v>-38.488948595367816</v>
      </c>
      <c r="N35" s="19">
        <f t="shared" si="8"/>
        <v>747.5910514046319</v>
      </c>
      <c r="O35" s="27">
        <f t="shared" si="9"/>
        <v>0.69</v>
      </c>
      <c r="P35" s="27">
        <f t="shared" si="10"/>
        <v>1595.28</v>
      </c>
      <c r="Q35" s="27">
        <f t="shared" si="11"/>
        <v>46.23999999999978</v>
      </c>
      <c r="R35" s="19">
        <f t="shared" si="12"/>
        <v>701.3510514046321</v>
      </c>
    </row>
    <row r="36" spans="1:18" ht="12.75">
      <c r="A36" s="3">
        <v>5</v>
      </c>
      <c r="B36" s="9">
        <f t="shared" si="5"/>
        <v>43221</v>
      </c>
      <c r="C36" s="126">
        <f t="shared" si="13"/>
        <v>43256</v>
      </c>
      <c r="D36" s="126">
        <f t="shared" si="13"/>
        <v>43271</v>
      </c>
      <c r="E36" s="20" t="s">
        <v>22</v>
      </c>
      <c r="F36" s="3">
        <v>9</v>
      </c>
      <c r="G36" s="198">
        <v>3370</v>
      </c>
      <c r="H36" s="127">
        <f t="shared" si="1"/>
        <v>0.67</v>
      </c>
      <c r="I36" s="127">
        <f t="shared" si="2"/>
        <v>1.01</v>
      </c>
      <c r="J36" s="28">
        <f t="shared" si="3"/>
        <v>3403.7</v>
      </c>
      <c r="K36" s="29">
        <f t="shared" si="14"/>
        <v>2257.9</v>
      </c>
      <c r="L36" s="30">
        <f t="shared" si="15"/>
        <v>1145.7999999999997</v>
      </c>
      <c r="M36" s="27">
        <f t="shared" si="7"/>
        <v>-56.10197091971867</v>
      </c>
      <c r="N36" s="19">
        <f t="shared" si="8"/>
        <v>1089.698029080281</v>
      </c>
      <c r="O36" s="27">
        <f t="shared" si="9"/>
        <v>0.69</v>
      </c>
      <c r="P36" s="27">
        <f t="shared" si="10"/>
        <v>2325.2999999999997</v>
      </c>
      <c r="Q36" s="27">
        <f t="shared" si="11"/>
        <v>67.39999999999964</v>
      </c>
      <c r="R36" s="19">
        <f t="shared" si="12"/>
        <v>1022.2980290802814</v>
      </c>
    </row>
    <row r="37" spans="1:18" ht="12.75">
      <c r="A37" s="3">
        <v>6</v>
      </c>
      <c r="B37" s="9">
        <f t="shared" si="5"/>
        <v>43252</v>
      </c>
      <c r="C37" s="126">
        <f t="shared" si="13"/>
        <v>43286</v>
      </c>
      <c r="D37" s="126">
        <f t="shared" si="13"/>
        <v>43301</v>
      </c>
      <c r="E37" s="20" t="s">
        <v>22</v>
      </c>
      <c r="F37" s="3">
        <v>9</v>
      </c>
      <c r="G37" s="198">
        <v>3563</v>
      </c>
      <c r="H37" s="127">
        <f t="shared" si="1"/>
        <v>0.67</v>
      </c>
      <c r="I37" s="127">
        <f t="shared" si="2"/>
        <v>1.01</v>
      </c>
      <c r="J37" s="28">
        <f t="shared" si="3"/>
        <v>3598.63</v>
      </c>
      <c r="K37" s="29">
        <f t="shared" si="14"/>
        <v>2387.21</v>
      </c>
      <c r="L37" s="39">
        <f t="shared" si="15"/>
        <v>1211.42</v>
      </c>
      <c r="M37" s="27">
        <f t="shared" si="7"/>
        <v>-59.31493245903786</v>
      </c>
      <c r="N37" s="19">
        <f t="shared" si="8"/>
        <v>1152.1050675409622</v>
      </c>
      <c r="O37" s="27">
        <f t="shared" si="9"/>
        <v>0.69</v>
      </c>
      <c r="P37" s="27">
        <f t="shared" si="10"/>
        <v>2458.47</v>
      </c>
      <c r="Q37" s="27">
        <f t="shared" si="11"/>
        <v>71.25999999999976</v>
      </c>
      <c r="R37" s="19">
        <f t="shared" si="12"/>
        <v>1080.8450675409624</v>
      </c>
    </row>
    <row r="38" spans="1:18" ht="12.75">
      <c r="A38" s="10">
        <v>7</v>
      </c>
      <c r="B38" s="9">
        <f t="shared" si="5"/>
        <v>43282</v>
      </c>
      <c r="C38" s="126">
        <f t="shared" si="13"/>
        <v>43315</v>
      </c>
      <c r="D38" s="126">
        <f t="shared" si="13"/>
        <v>43330</v>
      </c>
      <c r="E38" s="20" t="s">
        <v>22</v>
      </c>
      <c r="F38" s="3">
        <v>9</v>
      </c>
      <c r="G38" s="198">
        <v>3686</v>
      </c>
      <c r="H38" s="127">
        <f t="shared" si="1"/>
        <v>0.67</v>
      </c>
      <c r="I38" s="127">
        <f t="shared" si="2"/>
        <v>1.01</v>
      </c>
      <c r="J38" s="28">
        <f t="shared" si="3"/>
        <v>3722.86</v>
      </c>
      <c r="K38" s="37">
        <f t="shared" si="14"/>
        <v>2469.6200000000003</v>
      </c>
      <c r="L38" s="39">
        <f t="shared" si="15"/>
        <v>1253.2399999999998</v>
      </c>
      <c r="M38" s="27">
        <f t="shared" si="7"/>
        <v>-61.36257116026202</v>
      </c>
      <c r="N38" s="19">
        <f t="shared" si="8"/>
        <v>1191.8774288397378</v>
      </c>
      <c r="O38" s="27">
        <f t="shared" si="9"/>
        <v>0.69</v>
      </c>
      <c r="P38" s="27">
        <f t="shared" si="10"/>
        <v>2543.3399999999997</v>
      </c>
      <c r="Q38" s="27">
        <f t="shared" si="11"/>
        <v>73.71999999999935</v>
      </c>
      <c r="R38" s="19">
        <f t="shared" si="12"/>
        <v>1118.1574288397385</v>
      </c>
    </row>
    <row r="39" spans="1:18" ht="12.75">
      <c r="A39" s="3">
        <v>8</v>
      </c>
      <c r="B39" s="9">
        <f t="shared" si="5"/>
        <v>43313</v>
      </c>
      <c r="C39" s="126">
        <f t="shared" si="13"/>
        <v>43348</v>
      </c>
      <c r="D39" s="126">
        <f t="shared" si="13"/>
        <v>43363</v>
      </c>
      <c r="E39" s="20" t="s">
        <v>22</v>
      </c>
      <c r="F39" s="3">
        <v>9</v>
      </c>
      <c r="G39" s="198">
        <v>3463</v>
      </c>
      <c r="H39" s="127">
        <f t="shared" si="1"/>
        <v>0.67</v>
      </c>
      <c r="I39" s="127">
        <f t="shared" si="2"/>
        <v>1.01</v>
      </c>
      <c r="J39" s="28">
        <f t="shared" si="3"/>
        <v>3497.63</v>
      </c>
      <c r="K39" s="37">
        <f t="shared" si="14"/>
        <v>2320.21</v>
      </c>
      <c r="L39" s="39">
        <f t="shared" si="15"/>
        <v>1177.42</v>
      </c>
      <c r="M39" s="27">
        <f t="shared" si="7"/>
        <v>-57.65018554747352</v>
      </c>
      <c r="N39" s="19">
        <f t="shared" si="8"/>
        <v>1119.7698144525266</v>
      </c>
      <c r="O39" s="27">
        <f t="shared" si="9"/>
        <v>0.69</v>
      </c>
      <c r="P39" s="27">
        <f t="shared" si="10"/>
        <v>2389.47</v>
      </c>
      <c r="Q39" s="27">
        <f t="shared" si="11"/>
        <v>69.25999999999976</v>
      </c>
      <c r="R39" s="19">
        <f t="shared" si="12"/>
        <v>1050.5098144525268</v>
      </c>
    </row>
    <row r="40" spans="1:18" ht="12.75">
      <c r="A40" s="3">
        <v>9</v>
      </c>
      <c r="B40" s="9">
        <f t="shared" si="5"/>
        <v>43344</v>
      </c>
      <c r="C40" s="126">
        <f t="shared" si="13"/>
        <v>43376</v>
      </c>
      <c r="D40" s="126">
        <f t="shared" si="13"/>
        <v>43391</v>
      </c>
      <c r="E40" s="20" t="s">
        <v>22</v>
      </c>
      <c r="F40" s="3">
        <v>9</v>
      </c>
      <c r="G40" s="198">
        <v>3456</v>
      </c>
      <c r="H40" s="127">
        <f t="shared" si="1"/>
        <v>0.67</v>
      </c>
      <c r="I40" s="127">
        <f t="shared" si="2"/>
        <v>1.01</v>
      </c>
      <c r="J40" s="28">
        <f t="shared" si="3"/>
        <v>3490.56</v>
      </c>
      <c r="K40" s="37">
        <f t="shared" si="14"/>
        <v>2315.52</v>
      </c>
      <c r="L40" s="39">
        <f t="shared" si="15"/>
        <v>1175.04</v>
      </c>
      <c r="M40" s="27">
        <f t="shared" si="7"/>
        <v>-57.533653263664014</v>
      </c>
      <c r="N40" s="19">
        <f t="shared" si="8"/>
        <v>1117.506346736336</v>
      </c>
      <c r="O40" s="27">
        <f t="shared" si="9"/>
        <v>0.69</v>
      </c>
      <c r="P40" s="27">
        <f t="shared" si="10"/>
        <v>2384.64</v>
      </c>
      <c r="Q40" s="27">
        <f t="shared" si="11"/>
        <v>69.11999999999989</v>
      </c>
      <c r="R40" s="19">
        <f t="shared" si="12"/>
        <v>1048.386346736336</v>
      </c>
    </row>
    <row r="41" spans="1:18" ht="12.75">
      <c r="A41" s="10">
        <v>10</v>
      </c>
      <c r="B41" s="9">
        <f t="shared" si="5"/>
        <v>43374</v>
      </c>
      <c r="C41" s="126">
        <f t="shared" si="13"/>
        <v>43409</v>
      </c>
      <c r="D41" s="126">
        <f t="shared" si="13"/>
        <v>43424</v>
      </c>
      <c r="E41" s="20" t="s">
        <v>22</v>
      </c>
      <c r="F41" s="3">
        <v>9</v>
      </c>
      <c r="G41" s="198">
        <v>3155</v>
      </c>
      <c r="H41" s="127">
        <f t="shared" si="1"/>
        <v>0.67</v>
      </c>
      <c r="I41" s="127">
        <f t="shared" si="2"/>
        <v>1.01</v>
      </c>
      <c r="J41" s="28">
        <f t="shared" si="3"/>
        <v>3186.55</v>
      </c>
      <c r="K41" s="37">
        <f t="shared" si="14"/>
        <v>2113.85</v>
      </c>
      <c r="L41" s="39">
        <f t="shared" si="15"/>
        <v>1072.7000000000003</v>
      </c>
      <c r="M41" s="27">
        <f t="shared" si="7"/>
        <v>-52.52276505985531</v>
      </c>
      <c r="N41" s="19">
        <f t="shared" si="8"/>
        <v>1020.177234940145</v>
      </c>
      <c r="O41" s="27">
        <f t="shared" si="9"/>
        <v>0.69</v>
      </c>
      <c r="P41" s="27">
        <f t="shared" si="10"/>
        <v>2176.95</v>
      </c>
      <c r="Q41" s="27">
        <f t="shared" si="11"/>
        <v>63.09999999999991</v>
      </c>
      <c r="R41" s="19">
        <f t="shared" si="12"/>
        <v>957.0772349401451</v>
      </c>
    </row>
    <row r="42" spans="1:18" ht="12.75">
      <c r="A42" s="3">
        <v>11</v>
      </c>
      <c r="B42" s="9">
        <f t="shared" si="5"/>
        <v>43405</v>
      </c>
      <c r="C42" s="126">
        <f t="shared" si="13"/>
        <v>43439</v>
      </c>
      <c r="D42" s="126">
        <f t="shared" si="13"/>
        <v>43454</v>
      </c>
      <c r="E42" s="20" t="s">
        <v>22</v>
      </c>
      <c r="F42" s="3">
        <v>9</v>
      </c>
      <c r="G42" s="198">
        <v>2908</v>
      </c>
      <c r="H42" s="127">
        <f t="shared" si="1"/>
        <v>0.67</v>
      </c>
      <c r="I42" s="127">
        <f t="shared" si="2"/>
        <v>1.01</v>
      </c>
      <c r="J42" s="28">
        <f t="shared" si="3"/>
        <v>2937.08</v>
      </c>
      <c r="K42" s="37">
        <f t="shared" si="14"/>
        <v>1948.3600000000001</v>
      </c>
      <c r="L42" s="39">
        <f t="shared" si="15"/>
        <v>988.7199999999998</v>
      </c>
      <c r="M42" s="27">
        <f t="shared" si="7"/>
        <v>-48.41084018829136</v>
      </c>
      <c r="N42" s="19">
        <f t="shared" si="8"/>
        <v>940.3091598117085</v>
      </c>
      <c r="O42" s="27">
        <f t="shared" si="9"/>
        <v>0.69</v>
      </c>
      <c r="P42" s="27">
        <f t="shared" si="10"/>
        <v>2006.5199999999998</v>
      </c>
      <c r="Q42" s="27">
        <f t="shared" si="11"/>
        <v>58.15999999999963</v>
      </c>
      <c r="R42" s="19">
        <f t="shared" si="12"/>
        <v>882.1491598117088</v>
      </c>
    </row>
    <row r="43" spans="1:18" ht="12.75">
      <c r="A43" s="3">
        <v>12</v>
      </c>
      <c r="B43" s="9">
        <f t="shared" si="5"/>
        <v>43435</v>
      </c>
      <c r="C43" s="126">
        <f t="shared" si="13"/>
        <v>43468</v>
      </c>
      <c r="D43" s="126">
        <f t="shared" si="13"/>
        <v>43483</v>
      </c>
      <c r="E43" s="20" t="s">
        <v>22</v>
      </c>
      <c r="F43" s="3">
        <v>9</v>
      </c>
      <c r="G43" s="199">
        <v>2872</v>
      </c>
      <c r="H43" s="127">
        <f t="shared" si="1"/>
        <v>0.67</v>
      </c>
      <c r="I43" s="128">
        <f t="shared" si="2"/>
        <v>1.01</v>
      </c>
      <c r="J43" s="46">
        <f t="shared" si="3"/>
        <v>2900.72</v>
      </c>
      <c r="K43" s="47">
        <f t="shared" si="14"/>
        <v>1924.24</v>
      </c>
      <c r="L43" s="48">
        <f t="shared" si="15"/>
        <v>976.4799999999998</v>
      </c>
      <c r="M43" s="27">
        <f t="shared" si="7"/>
        <v>-47.811531300128195</v>
      </c>
      <c r="N43" s="19">
        <f t="shared" si="8"/>
        <v>928.6684686998716</v>
      </c>
      <c r="O43" s="27">
        <f t="shared" si="9"/>
        <v>0.69</v>
      </c>
      <c r="P43" s="27">
        <f t="shared" si="10"/>
        <v>1981.6799999999998</v>
      </c>
      <c r="Q43" s="27">
        <f t="shared" si="11"/>
        <v>57.43999999999983</v>
      </c>
      <c r="R43" s="19">
        <f t="shared" si="12"/>
        <v>871.2284686998718</v>
      </c>
    </row>
    <row r="44" spans="1:18" ht="12.75">
      <c r="A44" s="10">
        <v>1</v>
      </c>
      <c r="B44" s="74">
        <f aca="true" t="shared" si="16" ref="B44:B55">DATE($R$1,A44,1)</f>
        <v>43101</v>
      </c>
      <c r="C44" s="125">
        <f aca="true" t="shared" si="17" ref="C44:D55">+C32</f>
        <v>43136</v>
      </c>
      <c r="D44" s="125">
        <f t="shared" si="17"/>
        <v>43151</v>
      </c>
      <c r="E44" s="75" t="s">
        <v>83</v>
      </c>
      <c r="F44" s="76">
        <v>9</v>
      </c>
      <c r="G44" s="198">
        <v>204</v>
      </c>
      <c r="H44" s="127">
        <f t="shared" si="1"/>
        <v>0.67</v>
      </c>
      <c r="I44" s="127">
        <f t="shared" si="2"/>
        <v>1.01</v>
      </c>
      <c r="J44" s="27">
        <f aca="true" t="shared" si="18" ref="J44:J55">+$G44*I44</f>
        <v>206.04</v>
      </c>
      <c r="K44" s="37">
        <f aca="true" t="shared" si="19" ref="K44:K55">+$G44*H44</f>
        <v>136.68</v>
      </c>
      <c r="L44" s="39">
        <f aca="true" t="shared" si="20" ref="L44:L55">+J44-K44</f>
        <v>69.35999999999999</v>
      </c>
      <c r="M44" s="27">
        <f t="shared" si="7"/>
        <v>-3.3960836995912786</v>
      </c>
      <c r="N44" s="19">
        <f t="shared" si="8"/>
        <v>65.96391630040871</v>
      </c>
      <c r="O44" s="27">
        <f t="shared" si="9"/>
        <v>0.69</v>
      </c>
      <c r="P44" s="27">
        <f t="shared" si="10"/>
        <v>140.76</v>
      </c>
      <c r="Q44" s="27">
        <f t="shared" si="11"/>
        <v>4.079999999999984</v>
      </c>
      <c r="R44" s="19">
        <f t="shared" si="12"/>
        <v>61.88391630040873</v>
      </c>
    </row>
    <row r="45" spans="1:18" ht="12.75">
      <c r="A45" s="3">
        <v>2</v>
      </c>
      <c r="B45" s="9">
        <f t="shared" si="16"/>
        <v>43132</v>
      </c>
      <c r="C45" s="126">
        <f t="shared" si="17"/>
        <v>43164</v>
      </c>
      <c r="D45" s="126">
        <f t="shared" si="17"/>
        <v>43179</v>
      </c>
      <c r="E45" s="35" t="s">
        <v>83</v>
      </c>
      <c r="F45" s="3">
        <v>9</v>
      </c>
      <c r="G45" s="198">
        <v>131</v>
      </c>
      <c r="H45" s="127">
        <f t="shared" si="1"/>
        <v>0.67</v>
      </c>
      <c r="I45" s="127">
        <f t="shared" si="2"/>
        <v>1.01</v>
      </c>
      <c r="J45" s="27">
        <f t="shared" si="18"/>
        <v>132.31</v>
      </c>
      <c r="K45" s="37">
        <f t="shared" si="19"/>
        <v>87.77000000000001</v>
      </c>
      <c r="L45" s="39">
        <f t="shared" si="20"/>
        <v>44.53999999999999</v>
      </c>
      <c r="M45" s="27">
        <f t="shared" si="7"/>
        <v>-2.180818454149301</v>
      </c>
      <c r="N45" s="19">
        <f t="shared" si="8"/>
        <v>42.35918154585069</v>
      </c>
      <c r="O45" s="27">
        <f t="shared" si="9"/>
        <v>0.69</v>
      </c>
      <c r="P45" s="27">
        <f t="shared" si="10"/>
        <v>90.38999999999999</v>
      </c>
      <c r="Q45" s="27">
        <f t="shared" si="11"/>
        <v>2.619999999999976</v>
      </c>
      <c r="R45" s="19">
        <f t="shared" si="12"/>
        <v>39.73918154585071</v>
      </c>
    </row>
    <row r="46" spans="1:18" ht="12.75">
      <c r="A46" s="3">
        <v>3</v>
      </c>
      <c r="B46" s="9">
        <f t="shared" si="16"/>
        <v>43160</v>
      </c>
      <c r="C46" s="126">
        <f t="shared" si="17"/>
        <v>43194</v>
      </c>
      <c r="D46" s="126">
        <f t="shared" si="17"/>
        <v>43209</v>
      </c>
      <c r="E46" s="35" t="s">
        <v>83</v>
      </c>
      <c r="F46" s="3">
        <v>9</v>
      </c>
      <c r="G46" s="198">
        <v>109</v>
      </c>
      <c r="H46" s="127">
        <f t="shared" si="1"/>
        <v>0.67</v>
      </c>
      <c r="I46" s="127">
        <f t="shared" si="2"/>
        <v>1.01</v>
      </c>
      <c r="J46" s="27">
        <f t="shared" si="18"/>
        <v>110.09</v>
      </c>
      <c r="K46" s="37">
        <f t="shared" si="19"/>
        <v>73.03</v>
      </c>
      <c r="L46" s="39">
        <f t="shared" si="20"/>
        <v>37.06</v>
      </c>
      <c r="M46" s="27">
        <f t="shared" si="7"/>
        <v>-1.8145741336051437</v>
      </c>
      <c r="N46" s="19">
        <f t="shared" si="8"/>
        <v>35.24542586639486</v>
      </c>
      <c r="O46" s="27">
        <f t="shared" si="9"/>
        <v>0.69</v>
      </c>
      <c r="P46" s="27">
        <f t="shared" si="10"/>
        <v>75.21</v>
      </c>
      <c r="Q46" s="27">
        <f t="shared" si="11"/>
        <v>2.1799999999999926</v>
      </c>
      <c r="R46" s="19">
        <f t="shared" si="12"/>
        <v>33.06542586639487</v>
      </c>
    </row>
    <row r="47" spans="1:18" ht="12.75">
      <c r="A47" s="10">
        <v>4</v>
      </c>
      <c r="B47" s="9">
        <f t="shared" si="16"/>
        <v>43191</v>
      </c>
      <c r="C47" s="126">
        <f t="shared" si="17"/>
        <v>43223</v>
      </c>
      <c r="D47" s="126">
        <f t="shared" si="17"/>
        <v>43238</v>
      </c>
      <c r="E47" s="35" t="s">
        <v>83</v>
      </c>
      <c r="F47" s="3">
        <v>9</v>
      </c>
      <c r="G47" s="198">
        <v>84</v>
      </c>
      <c r="H47" s="127">
        <f t="shared" si="1"/>
        <v>0.67</v>
      </c>
      <c r="I47" s="127">
        <f t="shared" si="2"/>
        <v>1.01</v>
      </c>
      <c r="J47" s="27">
        <f t="shared" si="18"/>
        <v>84.84</v>
      </c>
      <c r="K47" s="37">
        <f t="shared" si="19"/>
        <v>56.28</v>
      </c>
      <c r="L47" s="39">
        <f t="shared" si="20"/>
        <v>28.560000000000002</v>
      </c>
      <c r="M47" s="27">
        <f t="shared" si="7"/>
        <v>-1.3983874057140557</v>
      </c>
      <c r="N47" s="19">
        <f t="shared" si="8"/>
        <v>27.16161259428595</v>
      </c>
      <c r="O47" s="27">
        <f t="shared" si="9"/>
        <v>0.69</v>
      </c>
      <c r="P47" s="27">
        <f t="shared" si="10"/>
        <v>57.959999999999994</v>
      </c>
      <c r="Q47" s="27">
        <f t="shared" si="11"/>
        <v>1.6799999999999926</v>
      </c>
      <c r="R47" s="19">
        <f t="shared" si="12"/>
        <v>25.481612594285956</v>
      </c>
    </row>
    <row r="48" spans="1:18" ht="12.75">
      <c r="A48" s="3">
        <v>5</v>
      </c>
      <c r="B48" s="9">
        <f t="shared" si="16"/>
        <v>43221</v>
      </c>
      <c r="C48" s="126">
        <f t="shared" si="17"/>
        <v>43256</v>
      </c>
      <c r="D48" s="126">
        <f t="shared" si="17"/>
        <v>43271</v>
      </c>
      <c r="E48" s="35" t="s">
        <v>83</v>
      </c>
      <c r="F48" s="3">
        <v>9</v>
      </c>
      <c r="G48" s="198">
        <v>134</v>
      </c>
      <c r="H48" s="127">
        <f t="shared" si="1"/>
        <v>0.67</v>
      </c>
      <c r="I48" s="127">
        <f t="shared" si="2"/>
        <v>1.01</v>
      </c>
      <c r="J48" s="27">
        <f t="shared" si="18"/>
        <v>135.34</v>
      </c>
      <c r="K48" s="37">
        <f t="shared" si="19"/>
        <v>89.78</v>
      </c>
      <c r="L48" s="39">
        <f t="shared" si="20"/>
        <v>45.56</v>
      </c>
      <c r="M48" s="27">
        <f t="shared" si="7"/>
        <v>-2.2307608614962318</v>
      </c>
      <c r="N48" s="19">
        <f t="shared" si="8"/>
        <v>43.32923913850377</v>
      </c>
      <c r="O48" s="27">
        <f t="shared" si="9"/>
        <v>0.69</v>
      </c>
      <c r="P48" s="27">
        <f t="shared" si="10"/>
        <v>92.46</v>
      </c>
      <c r="Q48" s="27">
        <f t="shared" si="11"/>
        <v>2.6799999999999926</v>
      </c>
      <c r="R48" s="19">
        <f t="shared" si="12"/>
        <v>40.64923913850378</v>
      </c>
    </row>
    <row r="49" spans="1:18" ht="12.75">
      <c r="A49" s="3">
        <v>6</v>
      </c>
      <c r="B49" s="9">
        <f t="shared" si="16"/>
        <v>43252</v>
      </c>
      <c r="C49" s="126">
        <f t="shared" si="17"/>
        <v>43286</v>
      </c>
      <c r="D49" s="126">
        <f t="shared" si="17"/>
        <v>43301</v>
      </c>
      <c r="E49" s="35" t="s">
        <v>83</v>
      </c>
      <c r="F49" s="3">
        <v>9</v>
      </c>
      <c r="G49" s="198">
        <v>132</v>
      </c>
      <c r="H49" s="127">
        <f t="shared" si="1"/>
        <v>0.67</v>
      </c>
      <c r="I49" s="127">
        <f t="shared" si="2"/>
        <v>1.01</v>
      </c>
      <c r="J49" s="27">
        <f t="shared" si="18"/>
        <v>133.32</v>
      </c>
      <c r="K49" s="37">
        <f t="shared" si="19"/>
        <v>88.44000000000001</v>
      </c>
      <c r="L49" s="39">
        <f t="shared" si="20"/>
        <v>44.87999999999998</v>
      </c>
      <c r="M49" s="27">
        <f t="shared" si="7"/>
        <v>-2.1974659232649447</v>
      </c>
      <c r="N49" s="19">
        <f t="shared" si="8"/>
        <v>42.68253407673504</v>
      </c>
      <c r="O49" s="27">
        <f t="shared" si="9"/>
        <v>0.69</v>
      </c>
      <c r="P49" s="27">
        <f t="shared" si="10"/>
        <v>91.08</v>
      </c>
      <c r="Q49" s="27">
        <f t="shared" si="11"/>
        <v>2.6399999999999864</v>
      </c>
      <c r="R49" s="19">
        <f t="shared" si="12"/>
        <v>40.04253407673505</v>
      </c>
    </row>
    <row r="50" spans="1:18" ht="12.75">
      <c r="A50" s="10">
        <v>7</v>
      </c>
      <c r="B50" s="9">
        <f t="shared" si="16"/>
        <v>43282</v>
      </c>
      <c r="C50" s="126">
        <f t="shared" si="17"/>
        <v>43315</v>
      </c>
      <c r="D50" s="126">
        <f t="shared" si="17"/>
        <v>43330</v>
      </c>
      <c r="E50" s="35" t="s">
        <v>83</v>
      </c>
      <c r="F50" s="3">
        <v>9</v>
      </c>
      <c r="G50" s="198">
        <v>143</v>
      </c>
      <c r="H50" s="127">
        <f t="shared" si="1"/>
        <v>0.67</v>
      </c>
      <c r="I50" s="127">
        <f t="shared" si="2"/>
        <v>1.01</v>
      </c>
      <c r="J50" s="27">
        <f t="shared" si="18"/>
        <v>144.43</v>
      </c>
      <c r="K50" s="37">
        <f t="shared" si="19"/>
        <v>95.81</v>
      </c>
      <c r="L50" s="39">
        <f t="shared" si="20"/>
        <v>48.620000000000005</v>
      </c>
      <c r="M50" s="27">
        <f t="shared" si="7"/>
        <v>-2.3805880835370234</v>
      </c>
      <c r="N50" s="19">
        <f t="shared" si="8"/>
        <v>46.239411916462984</v>
      </c>
      <c r="O50" s="27">
        <f t="shared" si="9"/>
        <v>0.69</v>
      </c>
      <c r="P50" s="27">
        <f t="shared" si="10"/>
        <v>98.66999999999999</v>
      </c>
      <c r="Q50" s="27">
        <f t="shared" si="11"/>
        <v>2.859999999999985</v>
      </c>
      <c r="R50" s="19">
        <f t="shared" si="12"/>
        <v>43.379411916463</v>
      </c>
    </row>
    <row r="51" spans="1:18" ht="12.75">
      <c r="A51" s="3">
        <v>8</v>
      </c>
      <c r="B51" s="9">
        <f t="shared" si="16"/>
        <v>43313</v>
      </c>
      <c r="C51" s="126">
        <f t="shared" si="17"/>
        <v>43348</v>
      </c>
      <c r="D51" s="126">
        <f t="shared" si="17"/>
        <v>43363</v>
      </c>
      <c r="E51" s="35" t="s">
        <v>83</v>
      </c>
      <c r="F51" s="3">
        <v>9</v>
      </c>
      <c r="G51" s="198">
        <v>120</v>
      </c>
      <c r="H51" s="127">
        <f t="shared" si="1"/>
        <v>0.67</v>
      </c>
      <c r="I51" s="127">
        <f t="shared" si="2"/>
        <v>1.01</v>
      </c>
      <c r="J51" s="27">
        <f t="shared" si="18"/>
        <v>121.2</v>
      </c>
      <c r="K51" s="37">
        <f t="shared" si="19"/>
        <v>80.4</v>
      </c>
      <c r="L51" s="39">
        <f t="shared" si="20"/>
        <v>40.8</v>
      </c>
      <c r="M51" s="27">
        <f t="shared" si="7"/>
        <v>-1.9976962938772227</v>
      </c>
      <c r="N51" s="19">
        <f t="shared" si="8"/>
        <v>38.80230370612277</v>
      </c>
      <c r="O51" s="27">
        <f t="shared" si="9"/>
        <v>0.69</v>
      </c>
      <c r="P51" s="27">
        <f t="shared" si="10"/>
        <v>82.8</v>
      </c>
      <c r="Q51" s="27">
        <f t="shared" si="11"/>
        <v>2.3999999999999915</v>
      </c>
      <c r="R51" s="19">
        <f t="shared" si="12"/>
        <v>36.40230370612278</v>
      </c>
    </row>
    <row r="52" spans="1:18" ht="12.75">
      <c r="A52" s="3">
        <v>9</v>
      </c>
      <c r="B52" s="9">
        <f t="shared" si="16"/>
        <v>43344</v>
      </c>
      <c r="C52" s="126">
        <f t="shared" si="17"/>
        <v>43376</v>
      </c>
      <c r="D52" s="126">
        <f t="shared" si="17"/>
        <v>43391</v>
      </c>
      <c r="E52" s="35" t="s">
        <v>83</v>
      </c>
      <c r="F52" s="3">
        <v>9</v>
      </c>
      <c r="G52" s="198">
        <v>127</v>
      </c>
      <c r="H52" s="127">
        <f t="shared" si="1"/>
        <v>0.67</v>
      </c>
      <c r="I52" s="127">
        <f t="shared" si="2"/>
        <v>1.01</v>
      </c>
      <c r="J52" s="27">
        <f t="shared" si="18"/>
        <v>128.27</v>
      </c>
      <c r="K52" s="37">
        <f t="shared" si="19"/>
        <v>85.09</v>
      </c>
      <c r="L52" s="39">
        <f t="shared" si="20"/>
        <v>43.18000000000001</v>
      </c>
      <c r="M52" s="27">
        <f t="shared" si="7"/>
        <v>-2.114228577686727</v>
      </c>
      <c r="N52" s="19">
        <f t="shared" si="8"/>
        <v>41.06577142231328</v>
      </c>
      <c r="O52" s="27">
        <f t="shared" si="9"/>
        <v>0.69</v>
      </c>
      <c r="P52" s="27">
        <f t="shared" si="10"/>
        <v>87.63</v>
      </c>
      <c r="Q52" s="27">
        <f t="shared" si="11"/>
        <v>2.539999999999992</v>
      </c>
      <c r="R52" s="19">
        <f t="shared" si="12"/>
        <v>38.52577142231329</v>
      </c>
    </row>
    <row r="53" spans="1:18" ht="12.75">
      <c r="A53" s="10">
        <v>10</v>
      </c>
      <c r="B53" s="9">
        <f t="shared" si="16"/>
        <v>43374</v>
      </c>
      <c r="C53" s="126">
        <f t="shared" si="17"/>
        <v>43409</v>
      </c>
      <c r="D53" s="126">
        <f t="shared" si="17"/>
        <v>43424</v>
      </c>
      <c r="E53" s="35" t="s">
        <v>83</v>
      </c>
      <c r="F53" s="3">
        <v>9</v>
      </c>
      <c r="G53" s="198">
        <v>118</v>
      </c>
      <c r="H53" s="127">
        <f t="shared" si="1"/>
        <v>0.67</v>
      </c>
      <c r="I53" s="127">
        <f t="shared" si="2"/>
        <v>1.01</v>
      </c>
      <c r="J53" s="27">
        <f t="shared" si="18"/>
        <v>119.18</v>
      </c>
      <c r="K53" s="37">
        <f t="shared" si="19"/>
        <v>79.06</v>
      </c>
      <c r="L53" s="39">
        <f t="shared" si="20"/>
        <v>40.120000000000005</v>
      </c>
      <c r="M53" s="27">
        <f t="shared" si="7"/>
        <v>-1.9644013556459357</v>
      </c>
      <c r="N53" s="19">
        <f t="shared" si="8"/>
        <v>38.15559864435407</v>
      </c>
      <c r="O53" s="27">
        <f t="shared" si="9"/>
        <v>0.69</v>
      </c>
      <c r="P53" s="27">
        <f t="shared" si="10"/>
        <v>81.41999999999999</v>
      </c>
      <c r="Q53" s="27">
        <f t="shared" si="11"/>
        <v>2.359999999999985</v>
      </c>
      <c r="R53" s="19">
        <f t="shared" si="12"/>
        <v>35.79559864435409</v>
      </c>
    </row>
    <row r="54" spans="1:18" ht="12.75">
      <c r="A54" s="3">
        <v>11</v>
      </c>
      <c r="B54" s="9">
        <f t="shared" si="16"/>
        <v>43405</v>
      </c>
      <c r="C54" s="126">
        <f t="shared" si="17"/>
        <v>43439</v>
      </c>
      <c r="D54" s="126">
        <f t="shared" si="17"/>
        <v>43454</v>
      </c>
      <c r="E54" s="35" t="s">
        <v>83</v>
      </c>
      <c r="F54" s="3">
        <v>9</v>
      </c>
      <c r="G54" s="198">
        <v>142</v>
      </c>
      <c r="H54" s="127">
        <f t="shared" si="1"/>
        <v>0.67</v>
      </c>
      <c r="I54" s="127">
        <f t="shared" si="2"/>
        <v>1.01</v>
      </c>
      <c r="J54" s="27">
        <f t="shared" si="18"/>
        <v>143.42</v>
      </c>
      <c r="K54" s="37">
        <f t="shared" si="19"/>
        <v>95.14</v>
      </c>
      <c r="L54" s="39">
        <f t="shared" si="20"/>
        <v>48.27999999999999</v>
      </c>
      <c r="M54" s="27">
        <f t="shared" si="7"/>
        <v>-2.36394061442138</v>
      </c>
      <c r="N54" s="19">
        <f t="shared" si="8"/>
        <v>45.916059385578606</v>
      </c>
      <c r="O54" s="27">
        <f t="shared" si="9"/>
        <v>0.69</v>
      </c>
      <c r="P54" s="27">
        <f t="shared" si="10"/>
        <v>97.97999999999999</v>
      </c>
      <c r="Q54" s="27">
        <f t="shared" si="11"/>
        <v>2.839999999999989</v>
      </c>
      <c r="R54" s="19">
        <f t="shared" si="12"/>
        <v>43.07605938557862</v>
      </c>
    </row>
    <row r="55" spans="1:18" ht="12.75">
      <c r="A55" s="3">
        <v>12</v>
      </c>
      <c r="B55" s="9">
        <f t="shared" si="16"/>
        <v>43435</v>
      </c>
      <c r="C55" s="126">
        <f t="shared" si="17"/>
        <v>43468</v>
      </c>
      <c r="D55" s="126">
        <f t="shared" si="17"/>
        <v>43483</v>
      </c>
      <c r="E55" s="35" t="s">
        <v>83</v>
      </c>
      <c r="F55" s="3">
        <v>9</v>
      </c>
      <c r="G55" s="199">
        <v>129</v>
      </c>
      <c r="H55" s="127">
        <f t="shared" si="1"/>
        <v>0.67</v>
      </c>
      <c r="I55" s="128">
        <f t="shared" si="2"/>
        <v>1.01</v>
      </c>
      <c r="J55" s="46">
        <f t="shared" si="18"/>
        <v>130.29</v>
      </c>
      <c r="K55" s="47">
        <f t="shared" si="19"/>
        <v>86.43</v>
      </c>
      <c r="L55" s="48">
        <f t="shared" si="20"/>
        <v>43.859999999999985</v>
      </c>
      <c r="M55" s="27">
        <f t="shared" si="7"/>
        <v>-2.147523515918014</v>
      </c>
      <c r="N55" s="19">
        <f t="shared" si="8"/>
        <v>41.71247648408197</v>
      </c>
      <c r="O55" s="27">
        <f t="shared" si="9"/>
        <v>0.69</v>
      </c>
      <c r="P55" s="27">
        <f t="shared" si="10"/>
        <v>89.00999999999999</v>
      </c>
      <c r="Q55" s="27">
        <f t="shared" si="11"/>
        <v>2.579999999999984</v>
      </c>
      <c r="R55" s="19">
        <f t="shared" si="12"/>
        <v>39.132476484081984</v>
      </c>
    </row>
    <row r="56" spans="1:18" s="77" customFormat="1" ht="12.75">
      <c r="A56" s="10">
        <v>1</v>
      </c>
      <c r="B56" s="74">
        <f t="shared" si="5"/>
        <v>43101</v>
      </c>
      <c r="C56" s="125">
        <f aca="true" t="shared" si="21" ref="C56:D67">+C32</f>
        <v>43136</v>
      </c>
      <c r="D56" s="125">
        <f t="shared" si="21"/>
        <v>43151</v>
      </c>
      <c r="E56" s="75" t="s">
        <v>14</v>
      </c>
      <c r="F56" s="76">
        <v>9</v>
      </c>
      <c r="G56" s="198">
        <v>951</v>
      </c>
      <c r="H56" s="127">
        <f t="shared" si="1"/>
        <v>0.67</v>
      </c>
      <c r="I56" s="127">
        <f t="shared" si="2"/>
        <v>1.01</v>
      </c>
      <c r="J56" s="28">
        <f t="shared" si="3"/>
        <v>960.51</v>
      </c>
      <c r="K56" s="29">
        <f t="shared" si="14"/>
        <v>637.1700000000001</v>
      </c>
      <c r="L56" s="30">
        <f t="shared" si="15"/>
        <v>323.3399999999999</v>
      </c>
      <c r="M56" s="27">
        <f t="shared" si="7"/>
        <v>-15.831743128976989</v>
      </c>
      <c r="N56" s="19">
        <f t="shared" si="8"/>
        <v>307.5082568710229</v>
      </c>
      <c r="O56" s="27">
        <f t="shared" si="9"/>
        <v>0.69</v>
      </c>
      <c r="P56" s="27">
        <f t="shared" si="10"/>
        <v>656.1899999999999</v>
      </c>
      <c r="Q56" s="27">
        <f t="shared" si="11"/>
        <v>19.019999999999868</v>
      </c>
      <c r="R56" s="19">
        <f t="shared" si="12"/>
        <v>288.48825687102305</v>
      </c>
    </row>
    <row r="57" spans="1:18" ht="12.75">
      <c r="A57" s="3">
        <v>2</v>
      </c>
      <c r="B57" s="9">
        <f t="shared" si="5"/>
        <v>43132</v>
      </c>
      <c r="C57" s="126">
        <f t="shared" si="21"/>
        <v>43164</v>
      </c>
      <c r="D57" s="126">
        <f t="shared" si="21"/>
        <v>43179</v>
      </c>
      <c r="E57" s="35" t="s">
        <v>14</v>
      </c>
      <c r="F57" s="3">
        <v>9</v>
      </c>
      <c r="G57" s="198">
        <v>724</v>
      </c>
      <c r="H57" s="127">
        <f t="shared" si="1"/>
        <v>0.67</v>
      </c>
      <c r="I57" s="127">
        <f t="shared" si="2"/>
        <v>1.01</v>
      </c>
      <c r="J57" s="28">
        <f t="shared" si="3"/>
        <v>731.24</v>
      </c>
      <c r="K57" s="29">
        <f t="shared" si="14"/>
        <v>485.08000000000004</v>
      </c>
      <c r="L57" s="30">
        <f t="shared" si="15"/>
        <v>246.15999999999997</v>
      </c>
      <c r="M57" s="27">
        <f t="shared" si="7"/>
        <v>-12.052767639725909</v>
      </c>
      <c r="N57" s="19">
        <f t="shared" si="8"/>
        <v>234.10723236027405</v>
      </c>
      <c r="O57" s="27">
        <f t="shared" si="9"/>
        <v>0.69</v>
      </c>
      <c r="P57" s="27">
        <f t="shared" si="10"/>
        <v>499.55999999999995</v>
      </c>
      <c r="Q57" s="27">
        <f t="shared" si="11"/>
        <v>14.479999999999905</v>
      </c>
      <c r="R57" s="19">
        <f t="shared" si="12"/>
        <v>219.62723236027415</v>
      </c>
    </row>
    <row r="58" spans="1:18" ht="12.75">
      <c r="A58" s="3">
        <v>3</v>
      </c>
      <c r="B58" s="9">
        <f t="shared" si="5"/>
        <v>43160</v>
      </c>
      <c r="C58" s="126">
        <f t="shared" si="21"/>
        <v>43194</v>
      </c>
      <c r="D58" s="126">
        <f t="shared" si="21"/>
        <v>43209</v>
      </c>
      <c r="E58" s="35" t="s">
        <v>14</v>
      </c>
      <c r="F58" s="3">
        <v>9</v>
      </c>
      <c r="G58" s="198">
        <v>603</v>
      </c>
      <c r="H58" s="127">
        <f t="shared" si="1"/>
        <v>0.67</v>
      </c>
      <c r="I58" s="127">
        <f t="shared" si="2"/>
        <v>1.01</v>
      </c>
      <c r="J58" s="28">
        <f t="shared" si="3"/>
        <v>609.03</v>
      </c>
      <c r="K58" s="29">
        <f t="shared" si="14"/>
        <v>404.01000000000005</v>
      </c>
      <c r="L58" s="30">
        <f>+J58-K58</f>
        <v>205.01999999999992</v>
      </c>
      <c r="M58" s="27">
        <f t="shared" si="7"/>
        <v>-10.038423876733043</v>
      </c>
      <c r="N58" s="19">
        <f t="shared" si="8"/>
        <v>194.98157612326688</v>
      </c>
      <c r="O58" s="27">
        <f t="shared" si="9"/>
        <v>0.69</v>
      </c>
      <c r="P58" s="27">
        <f t="shared" si="10"/>
        <v>416.07</v>
      </c>
      <c r="Q58" s="27">
        <f t="shared" si="11"/>
        <v>12.059999999999945</v>
      </c>
      <c r="R58" s="19">
        <f t="shared" si="12"/>
        <v>182.92157612326693</v>
      </c>
    </row>
    <row r="59" spans="1:18" ht="12.75">
      <c r="A59" s="10">
        <v>4</v>
      </c>
      <c r="B59" s="9">
        <f t="shared" si="5"/>
        <v>43191</v>
      </c>
      <c r="C59" s="126">
        <f t="shared" si="21"/>
        <v>43223</v>
      </c>
      <c r="D59" s="126">
        <f t="shared" si="21"/>
        <v>43238</v>
      </c>
      <c r="E59" s="35" t="s">
        <v>14</v>
      </c>
      <c r="F59" s="3">
        <v>9</v>
      </c>
      <c r="G59" s="198">
        <v>445</v>
      </c>
      <c r="H59" s="127">
        <f t="shared" si="1"/>
        <v>0.67</v>
      </c>
      <c r="I59" s="127">
        <f t="shared" si="2"/>
        <v>1.01</v>
      </c>
      <c r="J59" s="28">
        <f t="shared" si="3"/>
        <v>449.45</v>
      </c>
      <c r="K59" s="29">
        <f t="shared" si="14"/>
        <v>298.15000000000003</v>
      </c>
      <c r="L59" s="30">
        <f aca="true" t="shared" si="22" ref="L59:L81">+J59-K59</f>
        <v>151.29999999999995</v>
      </c>
      <c r="M59" s="27">
        <f t="shared" si="7"/>
        <v>-7.408123756461366</v>
      </c>
      <c r="N59" s="19">
        <f t="shared" si="8"/>
        <v>143.89187624353858</v>
      </c>
      <c r="O59" s="27">
        <f t="shared" si="9"/>
        <v>0.69</v>
      </c>
      <c r="P59" s="27">
        <f t="shared" si="10"/>
        <v>307.04999999999995</v>
      </c>
      <c r="Q59" s="27">
        <f t="shared" si="11"/>
        <v>8.89999999999992</v>
      </c>
      <c r="R59" s="19">
        <f t="shared" si="12"/>
        <v>134.99187624353866</v>
      </c>
    </row>
    <row r="60" spans="1:18" ht="12.75">
      <c r="A60" s="3">
        <v>5</v>
      </c>
      <c r="B60" s="9">
        <f t="shared" si="5"/>
        <v>43221</v>
      </c>
      <c r="C60" s="126">
        <f t="shared" si="21"/>
        <v>43256</v>
      </c>
      <c r="D60" s="126">
        <f t="shared" si="21"/>
        <v>43271</v>
      </c>
      <c r="E60" s="20" t="s">
        <v>14</v>
      </c>
      <c r="F60" s="3">
        <v>9</v>
      </c>
      <c r="G60" s="198">
        <v>784</v>
      </c>
      <c r="H60" s="127">
        <f t="shared" si="1"/>
        <v>0.67</v>
      </c>
      <c r="I60" s="127">
        <f t="shared" si="2"/>
        <v>1.01</v>
      </c>
      <c r="J60" s="28">
        <f t="shared" si="3"/>
        <v>791.84</v>
      </c>
      <c r="K60" s="29">
        <f t="shared" si="14"/>
        <v>525.2800000000001</v>
      </c>
      <c r="L60" s="30">
        <f t="shared" si="22"/>
        <v>266.55999999999995</v>
      </c>
      <c r="M60" s="27">
        <f t="shared" si="7"/>
        <v>-13.05161578666452</v>
      </c>
      <c r="N60" s="19">
        <f t="shared" si="8"/>
        <v>253.50838421333543</v>
      </c>
      <c r="O60" s="27">
        <f t="shared" si="9"/>
        <v>0.69</v>
      </c>
      <c r="P60" s="27">
        <f t="shared" si="10"/>
        <v>540.9599999999999</v>
      </c>
      <c r="Q60" s="27">
        <f t="shared" si="11"/>
        <v>15.679999999999836</v>
      </c>
      <c r="R60" s="19">
        <f t="shared" si="12"/>
        <v>237.8283842133356</v>
      </c>
    </row>
    <row r="61" spans="1:18" ht="12.75">
      <c r="A61" s="3">
        <v>6</v>
      </c>
      <c r="B61" s="9">
        <f t="shared" si="5"/>
        <v>43252</v>
      </c>
      <c r="C61" s="126">
        <f t="shared" si="21"/>
        <v>43286</v>
      </c>
      <c r="D61" s="126">
        <f t="shared" si="21"/>
        <v>43301</v>
      </c>
      <c r="E61" s="20" t="s">
        <v>14</v>
      </c>
      <c r="F61" s="3">
        <v>9</v>
      </c>
      <c r="G61" s="198">
        <v>870</v>
      </c>
      <c r="H61" s="127">
        <f t="shared" si="1"/>
        <v>0.67</v>
      </c>
      <c r="I61" s="127">
        <f t="shared" si="2"/>
        <v>1.01</v>
      </c>
      <c r="J61" s="28">
        <f t="shared" si="3"/>
        <v>878.7</v>
      </c>
      <c r="K61" s="29">
        <f t="shared" si="14"/>
        <v>582.9000000000001</v>
      </c>
      <c r="L61" s="39">
        <f t="shared" si="22"/>
        <v>295.79999999999995</v>
      </c>
      <c r="M61" s="27">
        <f t="shared" si="7"/>
        <v>-14.483298130609864</v>
      </c>
      <c r="N61" s="19">
        <f t="shared" si="8"/>
        <v>281.3167018693901</v>
      </c>
      <c r="O61" s="27">
        <f t="shared" si="9"/>
        <v>0.69</v>
      </c>
      <c r="P61" s="27">
        <f t="shared" si="10"/>
        <v>600.3</v>
      </c>
      <c r="Q61" s="27">
        <f t="shared" si="11"/>
        <v>17.399999999999864</v>
      </c>
      <c r="R61" s="19">
        <f t="shared" si="12"/>
        <v>263.91670186939024</v>
      </c>
    </row>
    <row r="62" spans="1:18" ht="12.75">
      <c r="A62" s="10">
        <v>7</v>
      </c>
      <c r="B62" s="9">
        <f t="shared" si="5"/>
        <v>43282</v>
      </c>
      <c r="C62" s="126">
        <f t="shared" si="21"/>
        <v>43315</v>
      </c>
      <c r="D62" s="126">
        <f t="shared" si="21"/>
        <v>43330</v>
      </c>
      <c r="E62" s="20" t="s">
        <v>14</v>
      </c>
      <c r="F62" s="3">
        <v>9</v>
      </c>
      <c r="G62" s="198">
        <v>933</v>
      </c>
      <c r="H62" s="127">
        <f t="shared" si="1"/>
        <v>0.67</v>
      </c>
      <c r="I62" s="127">
        <f t="shared" si="2"/>
        <v>1.01</v>
      </c>
      <c r="J62" s="28">
        <f t="shared" si="3"/>
        <v>942.33</v>
      </c>
      <c r="K62" s="37">
        <f t="shared" si="14"/>
        <v>625.11</v>
      </c>
      <c r="L62" s="39">
        <f t="shared" si="22"/>
        <v>317.22</v>
      </c>
      <c r="M62" s="27">
        <f t="shared" si="7"/>
        <v>-15.532088684895404</v>
      </c>
      <c r="N62" s="19">
        <f t="shared" si="8"/>
        <v>301.6879113151046</v>
      </c>
      <c r="O62" s="27">
        <f t="shared" si="9"/>
        <v>0.69</v>
      </c>
      <c r="P62" s="27">
        <f t="shared" si="10"/>
        <v>643.77</v>
      </c>
      <c r="Q62" s="27">
        <f t="shared" si="11"/>
        <v>18.659999999999968</v>
      </c>
      <c r="R62" s="19">
        <f t="shared" si="12"/>
        <v>283.02791131510463</v>
      </c>
    </row>
    <row r="63" spans="1:18" ht="12.75">
      <c r="A63" s="3">
        <v>8</v>
      </c>
      <c r="B63" s="9">
        <f t="shared" si="5"/>
        <v>43313</v>
      </c>
      <c r="C63" s="126">
        <f t="shared" si="21"/>
        <v>43348</v>
      </c>
      <c r="D63" s="126">
        <f t="shared" si="21"/>
        <v>43363</v>
      </c>
      <c r="E63" s="20" t="s">
        <v>14</v>
      </c>
      <c r="F63" s="3">
        <v>9</v>
      </c>
      <c r="G63" s="198">
        <v>815</v>
      </c>
      <c r="H63" s="127">
        <f t="shared" si="1"/>
        <v>0.67</v>
      </c>
      <c r="I63" s="127">
        <f t="shared" si="2"/>
        <v>1.01</v>
      </c>
      <c r="J63" s="28">
        <f t="shared" si="3"/>
        <v>823.15</v>
      </c>
      <c r="K63" s="37">
        <f t="shared" si="14"/>
        <v>546.0500000000001</v>
      </c>
      <c r="L63" s="39">
        <f t="shared" si="22"/>
        <v>277.0999999999999</v>
      </c>
      <c r="M63" s="27">
        <f t="shared" si="7"/>
        <v>-13.567687329249472</v>
      </c>
      <c r="N63" s="19">
        <f t="shared" si="8"/>
        <v>263.53231267075046</v>
      </c>
      <c r="O63" s="27">
        <f t="shared" si="9"/>
        <v>0.69</v>
      </c>
      <c r="P63" s="27">
        <f t="shared" si="10"/>
        <v>562.3499999999999</v>
      </c>
      <c r="Q63" s="27">
        <f t="shared" si="11"/>
        <v>16.29999999999984</v>
      </c>
      <c r="R63" s="19">
        <f t="shared" si="12"/>
        <v>247.23231267075062</v>
      </c>
    </row>
    <row r="64" spans="1:18" ht="12.75">
      <c r="A64" s="3">
        <v>9</v>
      </c>
      <c r="B64" s="9">
        <f t="shared" si="5"/>
        <v>43344</v>
      </c>
      <c r="C64" s="126">
        <f t="shared" si="21"/>
        <v>43376</v>
      </c>
      <c r="D64" s="126">
        <f t="shared" si="21"/>
        <v>43391</v>
      </c>
      <c r="E64" s="20" t="s">
        <v>14</v>
      </c>
      <c r="F64" s="3">
        <v>9</v>
      </c>
      <c r="G64" s="198">
        <v>801</v>
      </c>
      <c r="H64" s="127">
        <f t="shared" si="1"/>
        <v>0.67</v>
      </c>
      <c r="I64" s="127">
        <f aca="true" t="shared" si="23" ref="I64:I107">$J$3</f>
        <v>1.01</v>
      </c>
      <c r="J64" s="28">
        <f t="shared" si="3"/>
        <v>809.01</v>
      </c>
      <c r="K64" s="37">
        <f t="shared" si="14"/>
        <v>536.6700000000001</v>
      </c>
      <c r="L64" s="39">
        <f t="shared" si="22"/>
        <v>272.3399999999999</v>
      </c>
      <c r="M64" s="27">
        <f t="shared" si="7"/>
        <v>-13.334622761630461</v>
      </c>
      <c r="N64" s="19">
        <f t="shared" si="8"/>
        <v>259.0053772383695</v>
      </c>
      <c r="O64" s="27">
        <f t="shared" si="9"/>
        <v>0.69</v>
      </c>
      <c r="P64" s="27">
        <f t="shared" si="10"/>
        <v>552.6899999999999</v>
      </c>
      <c r="Q64" s="27">
        <f t="shared" si="11"/>
        <v>16.019999999999868</v>
      </c>
      <c r="R64" s="19">
        <f t="shared" si="12"/>
        <v>242.9853772383696</v>
      </c>
    </row>
    <row r="65" spans="1:18" ht="12.75">
      <c r="A65" s="10">
        <v>10</v>
      </c>
      <c r="B65" s="9">
        <f t="shared" si="5"/>
        <v>43374</v>
      </c>
      <c r="C65" s="126">
        <f t="shared" si="21"/>
        <v>43409</v>
      </c>
      <c r="D65" s="126">
        <f t="shared" si="21"/>
        <v>43424</v>
      </c>
      <c r="E65" s="20" t="s">
        <v>14</v>
      </c>
      <c r="F65" s="3">
        <v>9</v>
      </c>
      <c r="G65" s="198">
        <v>683</v>
      </c>
      <c r="H65" s="127">
        <f t="shared" si="1"/>
        <v>0.67</v>
      </c>
      <c r="I65" s="127">
        <f t="shared" si="23"/>
        <v>1.01</v>
      </c>
      <c r="J65" s="28">
        <f t="shared" si="3"/>
        <v>689.83</v>
      </c>
      <c r="K65" s="37">
        <f t="shared" si="14"/>
        <v>457.61</v>
      </c>
      <c r="L65" s="39">
        <f t="shared" si="22"/>
        <v>232.22000000000003</v>
      </c>
      <c r="M65" s="27">
        <f t="shared" si="7"/>
        <v>-11.370221405984525</v>
      </c>
      <c r="N65" s="19">
        <f t="shared" si="8"/>
        <v>220.8497785940155</v>
      </c>
      <c r="O65" s="27">
        <f t="shared" si="9"/>
        <v>0.69</v>
      </c>
      <c r="P65" s="27">
        <f t="shared" si="10"/>
        <v>471.27</v>
      </c>
      <c r="Q65" s="27">
        <f t="shared" si="11"/>
        <v>13.659999999999968</v>
      </c>
      <c r="R65" s="19">
        <f t="shared" si="12"/>
        <v>207.18977859401554</v>
      </c>
    </row>
    <row r="66" spans="1:18" ht="12.75">
      <c r="A66" s="3">
        <v>11</v>
      </c>
      <c r="B66" s="9">
        <f t="shared" si="5"/>
        <v>43405</v>
      </c>
      <c r="C66" s="126">
        <f t="shared" si="21"/>
        <v>43439</v>
      </c>
      <c r="D66" s="126">
        <f t="shared" si="21"/>
        <v>43454</v>
      </c>
      <c r="E66" s="20" t="s">
        <v>14</v>
      </c>
      <c r="F66" s="3">
        <v>9</v>
      </c>
      <c r="G66" s="198">
        <v>700</v>
      </c>
      <c r="H66" s="127">
        <f t="shared" si="1"/>
        <v>0.67</v>
      </c>
      <c r="I66" s="127">
        <f t="shared" si="23"/>
        <v>1.01</v>
      </c>
      <c r="J66" s="28">
        <f t="shared" si="3"/>
        <v>707</v>
      </c>
      <c r="K66" s="37">
        <f t="shared" si="14"/>
        <v>469</v>
      </c>
      <c r="L66" s="39">
        <f t="shared" si="22"/>
        <v>238</v>
      </c>
      <c r="M66" s="27">
        <f t="shared" si="7"/>
        <v>-11.653228380950464</v>
      </c>
      <c r="N66" s="19">
        <f t="shared" si="8"/>
        <v>226.34677161904955</v>
      </c>
      <c r="O66" s="27">
        <f t="shared" si="9"/>
        <v>0.69</v>
      </c>
      <c r="P66" s="27">
        <f t="shared" si="10"/>
        <v>482.99999999999994</v>
      </c>
      <c r="Q66" s="27">
        <f t="shared" si="11"/>
        <v>13.999999999999943</v>
      </c>
      <c r="R66" s="19">
        <f t="shared" si="12"/>
        <v>212.3467716190496</v>
      </c>
    </row>
    <row r="67" spans="1:18" s="34" customFormat="1" ht="12.75">
      <c r="A67" s="3">
        <v>12</v>
      </c>
      <c r="B67" s="44">
        <f t="shared" si="5"/>
        <v>43435</v>
      </c>
      <c r="C67" s="126">
        <f t="shared" si="21"/>
        <v>43468</v>
      </c>
      <c r="D67" s="126">
        <f t="shared" si="21"/>
        <v>43483</v>
      </c>
      <c r="E67" s="45" t="s">
        <v>14</v>
      </c>
      <c r="F67" s="42">
        <v>9</v>
      </c>
      <c r="G67" s="199">
        <v>697</v>
      </c>
      <c r="H67" s="127">
        <f t="shared" si="1"/>
        <v>0.67</v>
      </c>
      <c r="I67" s="128">
        <f t="shared" si="23"/>
        <v>1.01</v>
      </c>
      <c r="J67" s="46">
        <f t="shared" si="3"/>
        <v>703.97</v>
      </c>
      <c r="K67" s="47">
        <f t="shared" si="14"/>
        <v>466.99</v>
      </c>
      <c r="L67" s="48">
        <f t="shared" si="22"/>
        <v>236.98000000000002</v>
      </c>
      <c r="M67" s="27">
        <f t="shared" si="7"/>
        <v>-11.603285973603533</v>
      </c>
      <c r="N67" s="19">
        <f t="shared" si="8"/>
        <v>225.37671402639648</v>
      </c>
      <c r="O67" s="27">
        <f t="shared" si="9"/>
        <v>0.69</v>
      </c>
      <c r="P67" s="27">
        <f t="shared" si="10"/>
        <v>480.92999999999995</v>
      </c>
      <c r="Q67" s="27">
        <f t="shared" si="11"/>
        <v>13.93999999999994</v>
      </c>
      <c r="R67" s="19">
        <f t="shared" si="12"/>
        <v>211.43671402639654</v>
      </c>
    </row>
    <row r="68" spans="1:18" ht="12.75">
      <c r="A68" s="10">
        <v>1</v>
      </c>
      <c r="B68" s="9">
        <f t="shared" si="5"/>
        <v>43101</v>
      </c>
      <c r="C68" s="125">
        <f aca="true" t="shared" si="24" ref="C68:D79">+C56</f>
        <v>43136</v>
      </c>
      <c r="D68" s="125">
        <f t="shared" si="24"/>
        <v>43151</v>
      </c>
      <c r="E68" s="60" t="s">
        <v>85</v>
      </c>
      <c r="F68" s="10">
        <v>9</v>
      </c>
      <c r="G68" s="198">
        <v>50</v>
      </c>
      <c r="H68" s="127">
        <f t="shared" si="1"/>
        <v>0.67</v>
      </c>
      <c r="I68" s="127">
        <f t="shared" si="23"/>
        <v>1.01</v>
      </c>
      <c r="J68" s="28">
        <f t="shared" si="3"/>
        <v>50.5</v>
      </c>
      <c r="K68" s="29">
        <f t="shared" si="14"/>
        <v>33.5</v>
      </c>
      <c r="L68" s="30">
        <f t="shared" si="22"/>
        <v>17</v>
      </c>
      <c r="M68" s="27">
        <f t="shared" si="7"/>
        <v>-0.832373455782176</v>
      </c>
      <c r="N68" s="19">
        <f t="shared" si="8"/>
        <v>16.167626544217825</v>
      </c>
      <c r="O68" s="27">
        <f t="shared" si="9"/>
        <v>0.69</v>
      </c>
      <c r="P68" s="27">
        <f t="shared" si="10"/>
        <v>34.5</v>
      </c>
      <c r="Q68" s="27">
        <f t="shared" si="11"/>
        <v>1</v>
      </c>
      <c r="R68" s="19">
        <f t="shared" si="12"/>
        <v>15.167626544217825</v>
      </c>
    </row>
    <row r="69" spans="1:18" ht="12.75">
      <c r="A69" s="3">
        <v>2</v>
      </c>
      <c r="B69" s="9">
        <f t="shared" si="5"/>
        <v>43132</v>
      </c>
      <c r="C69" s="126">
        <f t="shared" si="24"/>
        <v>43164</v>
      </c>
      <c r="D69" s="126">
        <f t="shared" si="24"/>
        <v>43179</v>
      </c>
      <c r="E69" s="35" t="s">
        <v>85</v>
      </c>
      <c r="F69" s="3">
        <v>9</v>
      </c>
      <c r="G69" s="198">
        <v>44</v>
      </c>
      <c r="H69" s="127">
        <f t="shared" si="1"/>
        <v>0.67</v>
      </c>
      <c r="I69" s="127">
        <f t="shared" si="23"/>
        <v>1.01</v>
      </c>
      <c r="J69" s="28">
        <f t="shared" si="3"/>
        <v>44.44</v>
      </c>
      <c r="K69" s="29">
        <f t="shared" si="14"/>
        <v>29.48</v>
      </c>
      <c r="L69" s="30">
        <f t="shared" si="22"/>
        <v>14.959999999999997</v>
      </c>
      <c r="M69" s="27">
        <f t="shared" si="7"/>
        <v>-0.7324886410883149</v>
      </c>
      <c r="N69" s="19">
        <f t="shared" si="8"/>
        <v>14.227511358911682</v>
      </c>
      <c r="O69" s="27">
        <f t="shared" si="9"/>
        <v>0.69</v>
      </c>
      <c r="P69" s="27">
        <f t="shared" si="10"/>
        <v>30.36</v>
      </c>
      <c r="Q69" s="27">
        <f t="shared" si="11"/>
        <v>0.879999999999999</v>
      </c>
      <c r="R69" s="19">
        <f t="shared" si="12"/>
        <v>13.347511358911683</v>
      </c>
    </row>
    <row r="70" spans="1:18" ht="12.75">
      <c r="A70" s="3">
        <v>3</v>
      </c>
      <c r="B70" s="9">
        <f t="shared" si="5"/>
        <v>43160</v>
      </c>
      <c r="C70" s="126">
        <f t="shared" si="24"/>
        <v>43194</v>
      </c>
      <c r="D70" s="126">
        <f t="shared" si="24"/>
        <v>43209</v>
      </c>
      <c r="E70" s="35" t="s">
        <v>85</v>
      </c>
      <c r="F70" s="3">
        <v>9</v>
      </c>
      <c r="G70" s="198">
        <v>31</v>
      </c>
      <c r="H70" s="127">
        <f t="shared" si="1"/>
        <v>0.67</v>
      </c>
      <c r="I70" s="127">
        <f t="shared" si="23"/>
        <v>1.01</v>
      </c>
      <c r="J70" s="28">
        <f t="shared" si="3"/>
        <v>31.31</v>
      </c>
      <c r="K70" s="29">
        <f t="shared" si="14"/>
        <v>20.77</v>
      </c>
      <c r="L70" s="30">
        <f>+J70-K70</f>
        <v>10.54</v>
      </c>
      <c r="M70" s="27">
        <f t="shared" si="7"/>
        <v>-0.5160715425849491</v>
      </c>
      <c r="N70" s="19">
        <f t="shared" si="8"/>
        <v>10.02392845741505</v>
      </c>
      <c r="O70" s="27">
        <f t="shared" si="9"/>
        <v>0.69</v>
      </c>
      <c r="P70" s="27">
        <f t="shared" si="10"/>
        <v>21.389999999999997</v>
      </c>
      <c r="Q70" s="27">
        <f t="shared" si="11"/>
        <v>0.6199999999999974</v>
      </c>
      <c r="R70" s="19">
        <f t="shared" si="12"/>
        <v>9.403928457415052</v>
      </c>
    </row>
    <row r="71" spans="1:18" ht="12.75">
      <c r="A71" s="10">
        <v>4</v>
      </c>
      <c r="B71" s="9">
        <f t="shared" si="5"/>
        <v>43191</v>
      </c>
      <c r="C71" s="126">
        <f t="shared" si="24"/>
        <v>43223</v>
      </c>
      <c r="D71" s="126">
        <f t="shared" si="24"/>
        <v>43238</v>
      </c>
      <c r="E71" s="35" t="s">
        <v>85</v>
      </c>
      <c r="F71" s="3">
        <v>9</v>
      </c>
      <c r="G71" s="198">
        <v>23</v>
      </c>
      <c r="H71" s="127">
        <f t="shared" si="1"/>
        <v>0.67</v>
      </c>
      <c r="I71" s="127">
        <f t="shared" si="23"/>
        <v>1.01</v>
      </c>
      <c r="J71" s="28">
        <f t="shared" si="3"/>
        <v>23.23</v>
      </c>
      <c r="K71" s="29">
        <f t="shared" si="14"/>
        <v>15.41</v>
      </c>
      <c r="L71" s="30">
        <f aca="true" t="shared" si="25" ref="L71:L79">+J71-K71</f>
        <v>7.82</v>
      </c>
      <c r="M71" s="27">
        <f t="shared" si="7"/>
        <v>-0.382891789659801</v>
      </c>
      <c r="N71" s="19">
        <f t="shared" si="8"/>
        <v>7.437108210340199</v>
      </c>
      <c r="O71" s="27">
        <f t="shared" si="9"/>
        <v>0.69</v>
      </c>
      <c r="P71" s="27">
        <f t="shared" si="10"/>
        <v>15.87</v>
      </c>
      <c r="Q71" s="27">
        <f t="shared" si="11"/>
        <v>0.4599999999999991</v>
      </c>
      <c r="R71" s="19">
        <f t="shared" si="12"/>
        <v>6.9771082103402</v>
      </c>
    </row>
    <row r="72" spans="1:18" ht="12.75">
      <c r="A72" s="3">
        <v>5</v>
      </c>
      <c r="B72" s="9">
        <f t="shared" si="5"/>
        <v>43221</v>
      </c>
      <c r="C72" s="126">
        <f t="shared" si="24"/>
        <v>43256</v>
      </c>
      <c r="D72" s="126">
        <f t="shared" si="24"/>
        <v>43271</v>
      </c>
      <c r="E72" s="35" t="s">
        <v>85</v>
      </c>
      <c r="F72" s="3">
        <v>9</v>
      </c>
      <c r="G72" s="198">
        <v>42</v>
      </c>
      <c r="H72" s="127">
        <f t="shared" si="1"/>
        <v>0.67</v>
      </c>
      <c r="I72" s="127">
        <f t="shared" si="23"/>
        <v>1.01</v>
      </c>
      <c r="J72" s="28">
        <f t="shared" si="3"/>
        <v>42.42</v>
      </c>
      <c r="K72" s="29">
        <f t="shared" si="14"/>
        <v>28.14</v>
      </c>
      <c r="L72" s="30">
        <f t="shared" si="25"/>
        <v>14.280000000000001</v>
      </c>
      <c r="M72" s="27">
        <f t="shared" si="7"/>
        <v>-0.6991937028570279</v>
      </c>
      <c r="N72" s="19">
        <f t="shared" si="8"/>
        <v>13.580806297142974</v>
      </c>
      <c r="O72" s="27">
        <f t="shared" si="9"/>
        <v>0.69</v>
      </c>
      <c r="P72" s="27">
        <f t="shared" si="10"/>
        <v>28.979999999999997</v>
      </c>
      <c r="Q72" s="27">
        <f t="shared" si="11"/>
        <v>0.8399999999999963</v>
      </c>
      <c r="R72" s="19">
        <f t="shared" si="12"/>
        <v>12.740806297142978</v>
      </c>
    </row>
    <row r="73" spans="1:18" ht="12.75">
      <c r="A73" s="3">
        <v>6</v>
      </c>
      <c r="B73" s="9">
        <f t="shared" si="5"/>
        <v>43252</v>
      </c>
      <c r="C73" s="126">
        <f t="shared" si="24"/>
        <v>43286</v>
      </c>
      <c r="D73" s="126">
        <f t="shared" si="24"/>
        <v>43301</v>
      </c>
      <c r="E73" s="35" t="s">
        <v>85</v>
      </c>
      <c r="F73" s="3">
        <v>9</v>
      </c>
      <c r="G73" s="198">
        <v>48</v>
      </c>
      <c r="H73" s="127">
        <f t="shared" si="1"/>
        <v>0.67</v>
      </c>
      <c r="I73" s="127">
        <f t="shared" si="23"/>
        <v>1.01</v>
      </c>
      <c r="J73" s="28">
        <f t="shared" si="3"/>
        <v>48.480000000000004</v>
      </c>
      <c r="K73" s="29">
        <f t="shared" si="14"/>
        <v>32.160000000000004</v>
      </c>
      <c r="L73" s="39">
        <f t="shared" si="25"/>
        <v>16.32</v>
      </c>
      <c r="M73" s="27">
        <f t="shared" si="7"/>
        <v>-0.799078517550889</v>
      </c>
      <c r="N73" s="19">
        <f t="shared" si="8"/>
        <v>15.520921482449111</v>
      </c>
      <c r="O73" s="27">
        <f t="shared" si="9"/>
        <v>0.69</v>
      </c>
      <c r="P73" s="27">
        <f t="shared" si="10"/>
        <v>33.12</v>
      </c>
      <c r="Q73" s="27">
        <f t="shared" si="11"/>
        <v>0.9599999999999937</v>
      </c>
      <c r="R73" s="19">
        <f t="shared" si="12"/>
        <v>14.560921482449118</v>
      </c>
    </row>
    <row r="74" spans="1:18" ht="12.75">
      <c r="A74" s="10">
        <v>7</v>
      </c>
      <c r="B74" s="9">
        <f t="shared" si="5"/>
        <v>43282</v>
      </c>
      <c r="C74" s="126">
        <f t="shared" si="24"/>
        <v>43315</v>
      </c>
      <c r="D74" s="126">
        <f t="shared" si="24"/>
        <v>43330</v>
      </c>
      <c r="E74" s="35" t="s">
        <v>85</v>
      </c>
      <c r="F74" s="3">
        <v>9</v>
      </c>
      <c r="G74" s="198">
        <v>53</v>
      </c>
      <c r="H74" s="127">
        <f t="shared" si="1"/>
        <v>0.67</v>
      </c>
      <c r="I74" s="127">
        <f t="shared" si="23"/>
        <v>1.01</v>
      </c>
      <c r="J74" s="28">
        <f t="shared" si="3"/>
        <v>53.53</v>
      </c>
      <c r="K74" s="37">
        <f t="shared" si="14"/>
        <v>35.510000000000005</v>
      </c>
      <c r="L74" s="39">
        <f t="shared" si="25"/>
        <v>18.019999999999996</v>
      </c>
      <c r="M74" s="27">
        <f t="shared" si="7"/>
        <v>-0.8823158631291067</v>
      </c>
      <c r="N74" s="19">
        <f t="shared" si="8"/>
        <v>17.137684136870888</v>
      </c>
      <c r="O74" s="27">
        <f t="shared" si="9"/>
        <v>0.69</v>
      </c>
      <c r="P74" s="27">
        <f t="shared" si="10"/>
        <v>36.57</v>
      </c>
      <c r="Q74" s="27">
        <f t="shared" si="11"/>
        <v>1.0599999999999952</v>
      </c>
      <c r="R74" s="19">
        <f t="shared" si="12"/>
        <v>16.077684136870893</v>
      </c>
    </row>
    <row r="75" spans="1:18" ht="12.75">
      <c r="A75" s="3">
        <v>8</v>
      </c>
      <c r="B75" s="9">
        <f t="shared" si="5"/>
        <v>43313</v>
      </c>
      <c r="C75" s="126">
        <f t="shared" si="24"/>
        <v>43348</v>
      </c>
      <c r="D75" s="126">
        <f t="shared" si="24"/>
        <v>43363</v>
      </c>
      <c r="E75" s="35" t="s">
        <v>85</v>
      </c>
      <c r="F75" s="3">
        <v>9</v>
      </c>
      <c r="G75" s="198">
        <v>45</v>
      </c>
      <c r="H75" s="127">
        <f t="shared" si="1"/>
        <v>0.67</v>
      </c>
      <c r="I75" s="127">
        <f t="shared" si="23"/>
        <v>1.01</v>
      </c>
      <c r="J75" s="28">
        <f t="shared" si="3"/>
        <v>45.45</v>
      </c>
      <c r="K75" s="37">
        <f t="shared" si="14"/>
        <v>30.150000000000002</v>
      </c>
      <c r="L75" s="39">
        <f t="shared" si="25"/>
        <v>15.3</v>
      </c>
      <c r="M75" s="27">
        <f t="shared" si="7"/>
        <v>-0.7491361102039584</v>
      </c>
      <c r="N75" s="19">
        <f t="shared" si="8"/>
        <v>14.550863889796043</v>
      </c>
      <c r="O75" s="27">
        <f t="shared" si="9"/>
        <v>0.69</v>
      </c>
      <c r="P75" s="27">
        <f t="shared" si="10"/>
        <v>31.049999999999997</v>
      </c>
      <c r="Q75" s="27">
        <f t="shared" si="11"/>
        <v>0.899999999999995</v>
      </c>
      <c r="R75" s="19">
        <f t="shared" si="12"/>
        <v>13.650863889796048</v>
      </c>
    </row>
    <row r="76" spans="1:18" ht="12.75">
      <c r="A76" s="3">
        <v>9</v>
      </c>
      <c r="B76" s="9">
        <f t="shared" si="5"/>
        <v>43344</v>
      </c>
      <c r="C76" s="126">
        <f t="shared" si="24"/>
        <v>43376</v>
      </c>
      <c r="D76" s="126">
        <f t="shared" si="24"/>
        <v>43391</v>
      </c>
      <c r="E76" s="35" t="s">
        <v>85</v>
      </c>
      <c r="F76" s="3">
        <v>9</v>
      </c>
      <c r="G76" s="198">
        <v>43</v>
      </c>
      <c r="H76" s="127">
        <f t="shared" si="1"/>
        <v>0.67</v>
      </c>
      <c r="I76" s="127">
        <f t="shared" si="23"/>
        <v>1.01</v>
      </c>
      <c r="J76" s="28">
        <f t="shared" si="3"/>
        <v>43.43</v>
      </c>
      <c r="K76" s="37">
        <f t="shared" si="14"/>
        <v>28.810000000000002</v>
      </c>
      <c r="L76" s="39">
        <f t="shared" si="25"/>
        <v>14.619999999999997</v>
      </c>
      <c r="M76" s="27">
        <f t="shared" si="7"/>
        <v>-0.7158411719726714</v>
      </c>
      <c r="N76" s="19">
        <f t="shared" si="8"/>
        <v>13.904158828027326</v>
      </c>
      <c r="O76" s="27">
        <f t="shared" si="9"/>
        <v>0.69</v>
      </c>
      <c r="P76" s="27">
        <f t="shared" si="10"/>
        <v>29.669999999999998</v>
      </c>
      <c r="Q76" s="27">
        <f t="shared" si="11"/>
        <v>0.8599999999999959</v>
      </c>
      <c r="R76" s="19">
        <f t="shared" si="12"/>
        <v>13.04415882802733</v>
      </c>
    </row>
    <row r="77" spans="1:18" ht="12.75">
      <c r="A77" s="10">
        <v>10</v>
      </c>
      <c r="B77" s="9">
        <f t="shared" si="5"/>
        <v>43374</v>
      </c>
      <c r="C77" s="126">
        <f t="shared" si="24"/>
        <v>43409</v>
      </c>
      <c r="D77" s="126">
        <f t="shared" si="24"/>
        <v>43424</v>
      </c>
      <c r="E77" s="35" t="s">
        <v>85</v>
      </c>
      <c r="F77" s="3">
        <v>9</v>
      </c>
      <c r="G77" s="198">
        <v>35</v>
      </c>
      <c r="H77" s="127">
        <f t="shared" si="1"/>
        <v>0.67</v>
      </c>
      <c r="I77" s="127">
        <f t="shared" si="23"/>
        <v>1.01</v>
      </c>
      <c r="J77" s="28">
        <f t="shared" si="3"/>
        <v>35.35</v>
      </c>
      <c r="K77" s="37">
        <f t="shared" si="14"/>
        <v>23.450000000000003</v>
      </c>
      <c r="L77" s="39">
        <f t="shared" si="25"/>
        <v>11.899999999999999</v>
      </c>
      <c r="M77" s="27">
        <f t="shared" si="7"/>
        <v>-0.5826614190475232</v>
      </c>
      <c r="N77" s="19">
        <f t="shared" si="8"/>
        <v>11.317338580952475</v>
      </c>
      <c r="O77" s="27">
        <f t="shared" si="9"/>
        <v>0.69</v>
      </c>
      <c r="P77" s="27">
        <f t="shared" si="10"/>
        <v>24.15</v>
      </c>
      <c r="Q77" s="27">
        <f t="shared" si="11"/>
        <v>0.6999999999999957</v>
      </c>
      <c r="R77" s="19">
        <f t="shared" si="12"/>
        <v>10.61733858095248</v>
      </c>
    </row>
    <row r="78" spans="1:18" ht="12.75">
      <c r="A78" s="3">
        <v>11</v>
      </c>
      <c r="B78" s="9">
        <f t="shared" si="5"/>
        <v>43405</v>
      </c>
      <c r="C78" s="126">
        <f t="shared" si="24"/>
        <v>43439</v>
      </c>
      <c r="D78" s="126">
        <f t="shared" si="24"/>
        <v>43454</v>
      </c>
      <c r="E78" s="35" t="s">
        <v>85</v>
      </c>
      <c r="F78" s="3">
        <v>9</v>
      </c>
      <c r="G78" s="198">
        <v>35</v>
      </c>
      <c r="H78" s="127">
        <f t="shared" si="1"/>
        <v>0.67</v>
      </c>
      <c r="I78" s="127">
        <f t="shared" si="23"/>
        <v>1.01</v>
      </c>
      <c r="J78" s="28">
        <f t="shared" si="3"/>
        <v>35.35</v>
      </c>
      <c r="K78" s="37">
        <f>+$G78*H78</f>
        <v>23.450000000000003</v>
      </c>
      <c r="L78" s="39">
        <f t="shared" si="25"/>
        <v>11.899999999999999</v>
      </c>
      <c r="M78" s="27">
        <f t="shared" si="7"/>
        <v>-0.5826614190475232</v>
      </c>
      <c r="N78" s="19">
        <f t="shared" si="8"/>
        <v>11.317338580952475</v>
      </c>
      <c r="O78" s="27">
        <f t="shared" si="9"/>
        <v>0.69</v>
      </c>
      <c r="P78" s="27">
        <f t="shared" si="10"/>
        <v>24.15</v>
      </c>
      <c r="Q78" s="27">
        <f t="shared" si="11"/>
        <v>0.6999999999999957</v>
      </c>
      <c r="R78" s="19">
        <f t="shared" si="12"/>
        <v>10.61733858095248</v>
      </c>
    </row>
    <row r="79" spans="1:18" s="34" customFormat="1" ht="12.75">
      <c r="A79" s="3">
        <v>12</v>
      </c>
      <c r="B79" s="44">
        <f t="shared" si="5"/>
        <v>43435</v>
      </c>
      <c r="C79" s="137">
        <f t="shared" si="24"/>
        <v>43468</v>
      </c>
      <c r="D79" s="137">
        <f t="shared" si="24"/>
        <v>43483</v>
      </c>
      <c r="E79" s="193" t="s">
        <v>85</v>
      </c>
      <c r="F79" s="42">
        <v>9</v>
      </c>
      <c r="G79" s="199">
        <v>36</v>
      </c>
      <c r="H79" s="127">
        <f t="shared" si="1"/>
        <v>0.67</v>
      </c>
      <c r="I79" s="128">
        <f t="shared" si="23"/>
        <v>1.01</v>
      </c>
      <c r="J79" s="46">
        <f t="shared" si="3"/>
        <v>36.36</v>
      </c>
      <c r="K79" s="47">
        <f>+$G79*H79</f>
        <v>24.12</v>
      </c>
      <c r="L79" s="48">
        <f t="shared" si="25"/>
        <v>12.239999999999998</v>
      </c>
      <c r="M79" s="27">
        <f t="shared" si="7"/>
        <v>-0.5993088881631667</v>
      </c>
      <c r="N79" s="19">
        <f t="shared" si="8"/>
        <v>11.640691111836832</v>
      </c>
      <c r="O79" s="27">
        <f t="shared" si="9"/>
        <v>0.69</v>
      </c>
      <c r="P79" s="27">
        <f t="shared" si="10"/>
        <v>24.839999999999996</v>
      </c>
      <c r="Q79" s="27">
        <f t="shared" si="11"/>
        <v>0.7199999999999953</v>
      </c>
      <c r="R79" s="19">
        <f t="shared" si="12"/>
        <v>10.920691111836836</v>
      </c>
    </row>
    <row r="80" spans="1:18" s="8" customFormat="1" ht="12.75" customHeight="1">
      <c r="A80" s="10">
        <v>1</v>
      </c>
      <c r="B80" s="9">
        <f t="shared" si="5"/>
        <v>43101</v>
      </c>
      <c r="C80" s="125">
        <f aca="true" t="shared" si="26" ref="C80:D91">+C56</f>
        <v>43136</v>
      </c>
      <c r="D80" s="125">
        <f t="shared" si="26"/>
        <v>43151</v>
      </c>
      <c r="E80" s="60" t="s">
        <v>9</v>
      </c>
      <c r="F80" s="10">
        <v>9</v>
      </c>
      <c r="G80" s="198">
        <v>47</v>
      </c>
      <c r="H80" s="127">
        <f t="shared" si="1"/>
        <v>0.67</v>
      </c>
      <c r="I80" s="127">
        <f t="shared" si="23"/>
        <v>1.01</v>
      </c>
      <c r="J80" s="28">
        <f t="shared" si="3"/>
        <v>47.47</v>
      </c>
      <c r="K80" s="29">
        <f t="shared" si="14"/>
        <v>31.490000000000002</v>
      </c>
      <c r="L80" s="30">
        <f t="shared" si="22"/>
        <v>15.979999999999997</v>
      </c>
      <c r="M80" s="27">
        <f t="shared" si="7"/>
        <v>-0.7824310484352455</v>
      </c>
      <c r="N80" s="19">
        <f t="shared" si="8"/>
        <v>15.197568951564751</v>
      </c>
      <c r="O80" s="27">
        <f t="shared" si="9"/>
        <v>0.69</v>
      </c>
      <c r="P80" s="27">
        <f t="shared" si="10"/>
        <v>32.43</v>
      </c>
      <c r="Q80" s="27">
        <f t="shared" si="11"/>
        <v>0.9399999999999977</v>
      </c>
      <c r="R80" s="19">
        <f t="shared" si="12"/>
        <v>14.257568951564753</v>
      </c>
    </row>
    <row r="81" spans="1:18" ht="12.75">
      <c r="A81" s="3">
        <v>2</v>
      </c>
      <c r="B81" s="9">
        <f t="shared" si="5"/>
        <v>43132</v>
      </c>
      <c r="C81" s="126">
        <f t="shared" si="26"/>
        <v>43164</v>
      </c>
      <c r="D81" s="126">
        <f t="shared" si="26"/>
        <v>43179</v>
      </c>
      <c r="E81" s="35" t="s">
        <v>9</v>
      </c>
      <c r="F81" s="3">
        <v>9</v>
      </c>
      <c r="G81" s="198">
        <v>41</v>
      </c>
      <c r="H81" s="127">
        <f t="shared" si="1"/>
        <v>0.67</v>
      </c>
      <c r="I81" s="127">
        <f t="shared" si="23"/>
        <v>1.01</v>
      </c>
      <c r="J81" s="28">
        <f t="shared" si="3"/>
        <v>41.410000000000004</v>
      </c>
      <c r="K81" s="29">
        <f t="shared" si="14"/>
        <v>27.470000000000002</v>
      </c>
      <c r="L81" s="30">
        <f t="shared" si="22"/>
        <v>13.940000000000001</v>
      </c>
      <c r="M81" s="27">
        <f t="shared" si="7"/>
        <v>-0.6825462337413843</v>
      </c>
      <c r="N81" s="19">
        <f t="shared" si="8"/>
        <v>13.257453766258617</v>
      </c>
      <c r="O81" s="27">
        <f t="shared" si="9"/>
        <v>0.69</v>
      </c>
      <c r="P81" s="27">
        <f t="shared" si="10"/>
        <v>28.29</v>
      </c>
      <c r="Q81" s="27">
        <f t="shared" si="11"/>
        <v>0.8199999999999967</v>
      </c>
      <c r="R81" s="19">
        <f t="shared" si="12"/>
        <v>12.43745376625862</v>
      </c>
    </row>
    <row r="82" spans="1:18" ht="12.75">
      <c r="A82" s="3">
        <v>3</v>
      </c>
      <c r="B82" s="9">
        <f t="shared" si="5"/>
        <v>43160</v>
      </c>
      <c r="C82" s="126">
        <f t="shared" si="26"/>
        <v>43194</v>
      </c>
      <c r="D82" s="126">
        <f t="shared" si="26"/>
        <v>43209</v>
      </c>
      <c r="E82" s="35" t="s">
        <v>9</v>
      </c>
      <c r="F82" s="3">
        <v>9</v>
      </c>
      <c r="G82" s="198">
        <v>34</v>
      </c>
      <c r="H82" s="127">
        <f t="shared" si="1"/>
        <v>0.67</v>
      </c>
      <c r="I82" s="127">
        <f t="shared" si="23"/>
        <v>1.01</v>
      </c>
      <c r="J82" s="28">
        <f t="shared" si="3"/>
        <v>34.34</v>
      </c>
      <c r="K82" s="29">
        <f t="shared" si="14"/>
        <v>22.78</v>
      </c>
      <c r="L82" s="30">
        <f>+J82-K82</f>
        <v>11.560000000000002</v>
      </c>
      <c r="M82" s="27">
        <f t="shared" si="7"/>
        <v>-0.5660139499318797</v>
      </c>
      <c r="N82" s="19">
        <f t="shared" si="8"/>
        <v>10.993986050068123</v>
      </c>
      <c r="O82" s="27">
        <f t="shared" si="9"/>
        <v>0.69</v>
      </c>
      <c r="P82" s="27">
        <f t="shared" si="10"/>
        <v>23.459999999999997</v>
      </c>
      <c r="Q82" s="27">
        <f t="shared" si="11"/>
        <v>0.6799999999999962</v>
      </c>
      <c r="R82" s="19">
        <f t="shared" si="12"/>
        <v>10.313986050068127</v>
      </c>
    </row>
    <row r="83" spans="1:18" ht="12" customHeight="1">
      <c r="A83" s="10">
        <v>4</v>
      </c>
      <c r="B83" s="9">
        <f t="shared" si="5"/>
        <v>43191</v>
      </c>
      <c r="C83" s="126">
        <f t="shared" si="26"/>
        <v>43223</v>
      </c>
      <c r="D83" s="126">
        <f t="shared" si="26"/>
        <v>43238</v>
      </c>
      <c r="E83" s="20" t="s">
        <v>9</v>
      </c>
      <c r="F83" s="3">
        <v>9</v>
      </c>
      <c r="G83" s="198">
        <v>23</v>
      </c>
      <c r="H83" s="127">
        <f t="shared" si="1"/>
        <v>0.67</v>
      </c>
      <c r="I83" s="127">
        <f t="shared" si="23"/>
        <v>1.01</v>
      </c>
      <c r="J83" s="28">
        <f t="shared" si="3"/>
        <v>23.23</v>
      </c>
      <c r="K83" s="29">
        <f t="shared" si="14"/>
        <v>15.41</v>
      </c>
      <c r="L83" s="30">
        <f aca="true" t="shared" si="27" ref="L83:L93">+J83-K83</f>
        <v>7.82</v>
      </c>
      <c r="M83" s="27">
        <f t="shared" si="7"/>
        <v>-0.382891789659801</v>
      </c>
      <c r="N83" s="19">
        <f t="shared" si="8"/>
        <v>7.437108210340199</v>
      </c>
      <c r="O83" s="27">
        <f t="shared" si="9"/>
        <v>0.69</v>
      </c>
      <c r="P83" s="27">
        <f t="shared" si="10"/>
        <v>15.87</v>
      </c>
      <c r="Q83" s="27">
        <f t="shared" si="11"/>
        <v>0.4599999999999991</v>
      </c>
      <c r="R83" s="19">
        <f t="shared" si="12"/>
        <v>6.9771082103402</v>
      </c>
    </row>
    <row r="84" spans="1:18" ht="12" customHeight="1">
      <c r="A84" s="3">
        <v>5</v>
      </c>
      <c r="B84" s="9">
        <f t="shared" si="5"/>
        <v>43221</v>
      </c>
      <c r="C84" s="126">
        <f t="shared" si="26"/>
        <v>43256</v>
      </c>
      <c r="D84" s="126">
        <f t="shared" si="26"/>
        <v>43271</v>
      </c>
      <c r="E84" s="20" t="s">
        <v>9</v>
      </c>
      <c r="F84" s="3">
        <v>9</v>
      </c>
      <c r="G84" s="198">
        <v>36</v>
      </c>
      <c r="H84" s="127">
        <f aca="true" t="shared" si="28" ref="H84:H147">$K$3</f>
        <v>0.67</v>
      </c>
      <c r="I84" s="127">
        <f t="shared" si="23"/>
        <v>1.01</v>
      </c>
      <c r="J84" s="28">
        <f t="shared" si="3"/>
        <v>36.36</v>
      </c>
      <c r="K84" s="29">
        <f t="shared" si="14"/>
        <v>24.12</v>
      </c>
      <c r="L84" s="30">
        <f t="shared" si="27"/>
        <v>12.239999999999998</v>
      </c>
      <c r="M84" s="27">
        <f t="shared" si="7"/>
        <v>-0.5993088881631667</v>
      </c>
      <c r="N84" s="19">
        <f t="shared" si="8"/>
        <v>11.640691111836832</v>
      </c>
      <c r="O84" s="27">
        <f t="shared" si="9"/>
        <v>0.69</v>
      </c>
      <c r="P84" s="27">
        <f t="shared" si="10"/>
        <v>24.839999999999996</v>
      </c>
      <c r="Q84" s="27">
        <f t="shared" si="11"/>
        <v>0.7199999999999953</v>
      </c>
      <c r="R84" s="19">
        <f t="shared" si="12"/>
        <v>10.920691111836836</v>
      </c>
    </row>
    <row r="85" spans="1:18" ht="12.75">
      <c r="A85" s="3">
        <v>6</v>
      </c>
      <c r="B85" s="9">
        <f t="shared" si="5"/>
        <v>43252</v>
      </c>
      <c r="C85" s="126">
        <f t="shared" si="26"/>
        <v>43286</v>
      </c>
      <c r="D85" s="126">
        <f t="shared" si="26"/>
        <v>43301</v>
      </c>
      <c r="E85" s="20" t="s">
        <v>9</v>
      </c>
      <c r="F85" s="3">
        <v>9</v>
      </c>
      <c r="G85" s="198">
        <v>38</v>
      </c>
      <c r="H85" s="127">
        <f t="shared" si="28"/>
        <v>0.67</v>
      </c>
      <c r="I85" s="127">
        <f t="shared" si="23"/>
        <v>1.01</v>
      </c>
      <c r="J85" s="28">
        <f t="shared" si="3"/>
        <v>38.38</v>
      </c>
      <c r="K85" s="29">
        <f t="shared" si="14"/>
        <v>25.46</v>
      </c>
      <c r="L85" s="39">
        <f t="shared" si="27"/>
        <v>12.920000000000002</v>
      </c>
      <c r="M85" s="27">
        <f aca="true" t="shared" si="29" ref="M85:M148">G85/$G$212*$M$14</f>
        <v>-0.6326038263944538</v>
      </c>
      <c r="N85" s="19">
        <f aca="true" t="shared" si="30" ref="N85:N148">SUM(L85:M85)</f>
        <v>12.287396173605547</v>
      </c>
      <c r="O85" s="27">
        <f aca="true" t="shared" si="31" ref="O85:O148">+$P$3</f>
        <v>0.69</v>
      </c>
      <c r="P85" s="27">
        <f aca="true" t="shared" si="32" ref="P85:P148">+G85*O85</f>
        <v>26.22</v>
      </c>
      <c r="Q85" s="27">
        <f aca="true" t="shared" si="33" ref="Q85:Q148">+P85-K85</f>
        <v>0.759999999999998</v>
      </c>
      <c r="R85" s="19">
        <f aca="true" t="shared" si="34" ref="R85:R148">+N85-Q85</f>
        <v>11.527396173605549</v>
      </c>
    </row>
    <row r="86" spans="1:18" ht="12.75">
      <c r="A86" s="10">
        <v>7</v>
      </c>
      <c r="B86" s="9">
        <f t="shared" si="5"/>
        <v>43282</v>
      </c>
      <c r="C86" s="126">
        <f t="shared" si="26"/>
        <v>43315</v>
      </c>
      <c r="D86" s="126">
        <f t="shared" si="26"/>
        <v>43330</v>
      </c>
      <c r="E86" s="20" t="s">
        <v>9</v>
      </c>
      <c r="F86" s="3">
        <v>9</v>
      </c>
      <c r="G86" s="198">
        <v>42</v>
      </c>
      <c r="H86" s="127">
        <f t="shared" si="28"/>
        <v>0.67</v>
      </c>
      <c r="I86" s="127">
        <f t="shared" si="23"/>
        <v>1.01</v>
      </c>
      <c r="J86" s="28">
        <f t="shared" si="3"/>
        <v>42.42</v>
      </c>
      <c r="K86" s="37">
        <f t="shared" si="14"/>
        <v>28.14</v>
      </c>
      <c r="L86" s="39">
        <f t="shared" si="27"/>
        <v>14.280000000000001</v>
      </c>
      <c r="M86" s="27">
        <f t="shared" si="29"/>
        <v>-0.6991937028570279</v>
      </c>
      <c r="N86" s="19">
        <f t="shared" si="30"/>
        <v>13.580806297142974</v>
      </c>
      <c r="O86" s="27">
        <f t="shared" si="31"/>
        <v>0.69</v>
      </c>
      <c r="P86" s="27">
        <f t="shared" si="32"/>
        <v>28.979999999999997</v>
      </c>
      <c r="Q86" s="27">
        <f t="shared" si="33"/>
        <v>0.8399999999999963</v>
      </c>
      <c r="R86" s="19">
        <f t="shared" si="34"/>
        <v>12.740806297142978</v>
      </c>
    </row>
    <row r="87" spans="1:18" ht="12.75">
      <c r="A87" s="3">
        <v>8</v>
      </c>
      <c r="B87" s="9">
        <f t="shared" si="5"/>
        <v>43313</v>
      </c>
      <c r="C87" s="126">
        <f t="shared" si="26"/>
        <v>43348</v>
      </c>
      <c r="D87" s="126">
        <f t="shared" si="26"/>
        <v>43363</v>
      </c>
      <c r="E87" s="20" t="s">
        <v>9</v>
      </c>
      <c r="F87" s="3">
        <v>9</v>
      </c>
      <c r="G87" s="198">
        <v>37</v>
      </c>
      <c r="H87" s="127">
        <f t="shared" si="28"/>
        <v>0.67</v>
      </c>
      <c r="I87" s="127">
        <f t="shared" si="23"/>
        <v>1.01</v>
      </c>
      <c r="J87" s="28">
        <f t="shared" si="3"/>
        <v>37.37</v>
      </c>
      <c r="K87" s="37">
        <f t="shared" si="14"/>
        <v>24.790000000000003</v>
      </c>
      <c r="L87" s="39">
        <f t="shared" si="27"/>
        <v>12.579999999999995</v>
      </c>
      <c r="M87" s="27">
        <f t="shared" si="29"/>
        <v>-0.6159563572788103</v>
      </c>
      <c r="N87" s="19">
        <f t="shared" si="30"/>
        <v>11.964043642721185</v>
      </c>
      <c r="O87" s="27">
        <f t="shared" si="31"/>
        <v>0.69</v>
      </c>
      <c r="P87" s="27">
        <f t="shared" si="32"/>
        <v>25.529999999999998</v>
      </c>
      <c r="Q87" s="27">
        <f t="shared" si="33"/>
        <v>0.7399999999999949</v>
      </c>
      <c r="R87" s="19">
        <f t="shared" si="34"/>
        <v>11.22404364272119</v>
      </c>
    </row>
    <row r="88" spans="1:18" ht="12.75">
      <c r="A88" s="3">
        <v>9</v>
      </c>
      <c r="B88" s="9">
        <f t="shared" si="5"/>
        <v>43344</v>
      </c>
      <c r="C88" s="126">
        <f t="shared" si="26"/>
        <v>43376</v>
      </c>
      <c r="D88" s="126">
        <f t="shared" si="26"/>
        <v>43391</v>
      </c>
      <c r="E88" s="20" t="s">
        <v>9</v>
      </c>
      <c r="F88" s="3">
        <v>9</v>
      </c>
      <c r="G88" s="198">
        <v>36</v>
      </c>
      <c r="H88" s="127">
        <f t="shared" si="28"/>
        <v>0.67</v>
      </c>
      <c r="I88" s="127">
        <f t="shared" si="23"/>
        <v>1.01</v>
      </c>
      <c r="J88" s="28">
        <f t="shared" si="3"/>
        <v>36.36</v>
      </c>
      <c r="K88" s="37">
        <f t="shared" si="14"/>
        <v>24.12</v>
      </c>
      <c r="L88" s="39">
        <f t="shared" si="27"/>
        <v>12.239999999999998</v>
      </c>
      <c r="M88" s="27">
        <f t="shared" si="29"/>
        <v>-0.5993088881631667</v>
      </c>
      <c r="N88" s="19">
        <f t="shared" si="30"/>
        <v>11.640691111836832</v>
      </c>
      <c r="O88" s="27">
        <f t="shared" si="31"/>
        <v>0.69</v>
      </c>
      <c r="P88" s="27">
        <f t="shared" si="32"/>
        <v>24.839999999999996</v>
      </c>
      <c r="Q88" s="27">
        <f t="shared" si="33"/>
        <v>0.7199999999999953</v>
      </c>
      <c r="R88" s="19">
        <f t="shared" si="34"/>
        <v>10.920691111836836</v>
      </c>
    </row>
    <row r="89" spans="1:18" ht="12.75">
      <c r="A89" s="10">
        <v>10</v>
      </c>
      <c r="B89" s="9">
        <f t="shared" si="5"/>
        <v>43374</v>
      </c>
      <c r="C89" s="126">
        <f t="shared" si="26"/>
        <v>43409</v>
      </c>
      <c r="D89" s="126">
        <f t="shared" si="26"/>
        <v>43424</v>
      </c>
      <c r="E89" s="20" t="s">
        <v>9</v>
      </c>
      <c r="F89" s="3">
        <v>9</v>
      </c>
      <c r="G89" s="198">
        <v>33</v>
      </c>
      <c r="H89" s="127">
        <f t="shared" si="28"/>
        <v>0.67</v>
      </c>
      <c r="I89" s="127">
        <f t="shared" si="23"/>
        <v>1.01</v>
      </c>
      <c r="J89" s="28">
        <f t="shared" si="3"/>
        <v>33.33</v>
      </c>
      <c r="K89" s="37">
        <f t="shared" si="14"/>
        <v>22.110000000000003</v>
      </c>
      <c r="L89" s="39">
        <f t="shared" si="27"/>
        <v>11.219999999999995</v>
      </c>
      <c r="M89" s="27">
        <f t="shared" si="29"/>
        <v>-0.5493664808162362</v>
      </c>
      <c r="N89" s="19">
        <f t="shared" si="30"/>
        <v>10.67063351918376</v>
      </c>
      <c r="O89" s="27">
        <f t="shared" si="31"/>
        <v>0.69</v>
      </c>
      <c r="P89" s="27">
        <f t="shared" si="32"/>
        <v>22.77</v>
      </c>
      <c r="Q89" s="27">
        <f t="shared" si="33"/>
        <v>0.6599999999999966</v>
      </c>
      <c r="R89" s="19">
        <f t="shared" si="34"/>
        <v>10.010633519183763</v>
      </c>
    </row>
    <row r="90" spans="1:18" ht="12.75">
      <c r="A90" s="3">
        <v>11</v>
      </c>
      <c r="B90" s="9">
        <f t="shared" si="5"/>
        <v>43405</v>
      </c>
      <c r="C90" s="126">
        <f t="shared" si="26"/>
        <v>43439</v>
      </c>
      <c r="D90" s="126">
        <f t="shared" si="26"/>
        <v>43454</v>
      </c>
      <c r="E90" s="20" t="s">
        <v>9</v>
      </c>
      <c r="F90" s="3">
        <v>9</v>
      </c>
      <c r="G90" s="198">
        <v>36</v>
      </c>
      <c r="H90" s="127">
        <f t="shared" si="28"/>
        <v>0.67</v>
      </c>
      <c r="I90" s="127">
        <f t="shared" si="23"/>
        <v>1.01</v>
      </c>
      <c r="J90" s="28">
        <f t="shared" si="3"/>
        <v>36.36</v>
      </c>
      <c r="K90" s="37">
        <f t="shared" si="14"/>
        <v>24.12</v>
      </c>
      <c r="L90" s="39">
        <f t="shared" si="27"/>
        <v>12.239999999999998</v>
      </c>
      <c r="M90" s="27">
        <f t="shared" si="29"/>
        <v>-0.5993088881631667</v>
      </c>
      <c r="N90" s="19">
        <f t="shared" si="30"/>
        <v>11.640691111836832</v>
      </c>
      <c r="O90" s="27">
        <f t="shared" si="31"/>
        <v>0.69</v>
      </c>
      <c r="P90" s="27">
        <f t="shared" si="32"/>
        <v>24.839999999999996</v>
      </c>
      <c r="Q90" s="27">
        <f t="shared" si="33"/>
        <v>0.7199999999999953</v>
      </c>
      <c r="R90" s="19">
        <f t="shared" si="34"/>
        <v>10.920691111836836</v>
      </c>
    </row>
    <row r="91" spans="1:18" s="34" customFormat="1" ht="12.75">
      <c r="A91" s="3">
        <v>12</v>
      </c>
      <c r="B91" s="44">
        <f t="shared" si="5"/>
        <v>43435</v>
      </c>
      <c r="C91" s="126">
        <f t="shared" si="26"/>
        <v>43468</v>
      </c>
      <c r="D91" s="126">
        <f t="shared" si="26"/>
        <v>43483</v>
      </c>
      <c r="E91" s="45" t="s">
        <v>9</v>
      </c>
      <c r="F91" s="42">
        <v>9</v>
      </c>
      <c r="G91" s="199">
        <v>38</v>
      </c>
      <c r="H91" s="127">
        <f t="shared" si="28"/>
        <v>0.67</v>
      </c>
      <c r="I91" s="128">
        <f t="shared" si="23"/>
        <v>1.01</v>
      </c>
      <c r="J91" s="46">
        <f t="shared" si="3"/>
        <v>38.38</v>
      </c>
      <c r="K91" s="47">
        <f t="shared" si="14"/>
        <v>25.46</v>
      </c>
      <c r="L91" s="48">
        <f t="shared" si="27"/>
        <v>12.920000000000002</v>
      </c>
      <c r="M91" s="27">
        <f t="shared" si="29"/>
        <v>-0.6326038263944538</v>
      </c>
      <c r="N91" s="19">
        <f t="shared" si="30"/>
        <v>12.287396173605547</v>
      </c>
      <c r="O91" s="27">
        <f t="shared" si="31"/>
        <v>0.69</v>
      </c>
      <c r="P91" s="27">
        <f t="shared" si="32"/>
        <v>26.22</v>
      </c>
      <c r="Q91" s="27">
        <f t="shared" si="33"/>
        <v>0.759999999999998</v>
      </c>
      <c r="R91" s="19">
        <f t="shared" si="34"/>
        <v>11.527396173605549</v>
      </c>
    </row>
    <row r="92" spans="1:18" ht="12.75">
      <c r="A92" s="10">
        <v>1</v>
      </c>
      <c r="B92" s="9">
        <f t="shared" si="5"/>
        <v>43101</v>
      </c>
      <c r="C92" s="125">
        <f aca="true" t="shared" si="35" ref="C92:D95">+C80</f>
        <v>43136</v>
      </c>
      <c r="D92" s="125">
        <f t="shared" si="35"/>
        <v>43151</v>
      </c>
      <c r="E92" s="60" t="s">
        <v>8</v>
      </c>
      <c r="F92" s="10">
        <v>9</v>
      </c>
      <c r="G92" s="198">
        <v>99</v>
      </c>
      <c r="H92" s="127">
        <f t="shared" si="28"/>
        <v>0.67</v>
      </c>
      <c r="I92" s="127">
        <f t="shared" si="23"/>
        <v>1.01</v>
      </c>
      <c r="J92" s="28">
        <f t="shared" si="3"/>
        <v>99.99</v>
      </c>
      <c r="K92" s="29">
        <f t="shared" si="14"/>
        <v>66.33</v>
      </c>
      <c r="L92" s="30">
        <f t="shared" si="27"/>
        <v>33.66</v>
      </c>
      <c r="M92" s="27">
        <f t="shared" si="29"/>
        <v>-1.6480994424487085</v>
      </c>
      <c r="N92" s="19">
        <f t="shared" si="30"/>
        <v>32.011900557551286</v>
      </c>
      <c r="O92" s="27">
        <f t="shared" si="31"/>
        <v>0.69</v>
      </c>
      <c r="P92" s="27">
        <f t="shared" si="32"/>
        <v>68.30999999999999</v>
      </c>
      <c r="Q92" s="27">
        <f t="shared" si="33"/>
        <v>1.9799999999999898</v>
      </c>
      <c r="R92" s="19">
        <f t="shared" si="34"/>
        <v>30.031900557551296</v>
      </c>
    </row>
    <row r="93" spans="1:18" ht="12.75">
      <c r="A93" s="3">
        <v>2</v>
      </c>
      <c r="B93" s="9">
        <f t="shared" si="5"/>
        <v>43132</v>
      </c>
      <c r="C93" s="126">
        <f t="shared" si="35"/>
        <v>43164</v>
      </c>
      <c r="D93" s="126">
        <f t="shared" si="35"/>
        <v>43179</v>
      </c>
      <c r="E93" s="35" t="s">
        <v>8</v>
      </c>
      <c r="F93" s="3">
        <v>9</v>
      </c>
      <c r="G93" s="198">
        <v>84</v>
      </c>
      <c r="H93" s="127">
        <f t="shared" si="28"/>
        <v>0.67</v>
      </c>
      <c r="I93" s="127">
        <f t="shared" si="23"/>
        <v>1.01</v>
      </c>
      <c r="J93" s="28">
        <f t="shared" si="3"/>
        <v>84.84</v>
      </c>
      <c r="K93" s="29">
        <f t="shared" si="14"/>
        <v>56.28</v>
      </c>
      <c r="L93" s="30">
        <f t="shared" si="27"/>
        <v>28.560000000000002</v>
      </c>
      <c r="M93" s="27">
        <f t="shared" si="29"/>
        <v>-1.3983874057140557</v>
      </c>
      <c r="N93" s="19">
        <f t="shared" si="30"/>
        <v>27.16161259428595</v>
      </c>
      <c r="O93" s="27">
        <f t="shared" si="31"/>
        <v>0.69</v>
      </c>
      <c r="P93" s="27">
        <f t="shared" si="32"/>
        <v>57.959999999999994</v>
      </c>
      <c r="Q93" s="27">
        <f t="shared" si="33"/>
        <v>1.6799999999999926</v>
      </c>
      <c r="R93" s="19">
        <f t="shared" si="34"/>
        <v>25.481612594285956</v>
      </c>
    </row>
    <row r="94" spans="1:18" ht="12.75">
      <c r="A94" s="3">
        <v>3</v>
      </c>
      <c r="B94" s="9">
        <f t="shared" si="5"/>
        <v>43160</v>
      </c>
      <c r="C94" s="126">
        <f t="shared" si="35"/>
        <v>43194</v>
      </c>
      <c r="D94" s="126">
        <f t="shared" si="35"/>
        <v>43209</v>
      </c>
      <c r="E94" s="35" t="s">
        <v>8</v>
      </c>
      <c r="F94" s="3">
        <v>9</v>
      </c>
      <c r="G94" s="198">
        <v>68</v>
      </c>
      <c r="H94" s="127">
        <f t="shared" si="28"/>
        <v>0.67</v>
      </c>
      <c r="I94" s="127">
        <f t="shared" si="23"/>
        <v>1.01</v>
      </c>
      <c r="J94" s="28">
        <f t="shared" si="3"/>
        <v>68.68</v>
      </c>
      <c r="K94" s="29">
        <f aca="true" t="shared" si="36" ref="K94:K133">+$G94*H94</f>
        <v>45.56</v>
      </c>
      <c r="L94" s="30">
        <f>+J94-K94</f>
        <v>23.120000000000005</v>
      </c>
      <c r="M94" s="27">
        <f t="shared" si="29"/>
        <v>-1.1320278998637594</v>
      </c>
      <c r="N94" s="19">
        <f t="shared" si="30"/>
        <v>21.987972100136247</v>
      </c>
      <c r="O94" s="27">
        <f t="shared" si="31"/>
        <v>0.69</v>
      </c>
      <c r="P94" s="27">
        <f t="shared" si="32"/>
        <v>46.919999999999995</v>
      </c>
      <c r="Q94" s="27">
        <f t="shared" si="33"/>
        <v>1.3599999999999923</v>
      </c>
      <c r="R94" s="19">
        <f t="shared" si="34"/>
        <v>20.627972100136255</v>
      </c>
    </row>
    <row r="95" spans="1:18" ht="12.75">
      <c r="A95" s="10">
        <v>4</v>
      </c>
      <c r="B95" s="9">
        <f t="shared" si="5"/>
        <v>43191</v>
      </c>
      <c r="C95" s="126">
        <f t="shared" si="35"/>
        <v>43223</v>
      </c>
      <c r="D95" s="126">
        <f t="shared" si="35"/>
        <v>43238</v>
      </c>
      <c r="E95" s="35" t="s">
        <v>8</v>
      </c>
      <c r="F95" s="3">
        <v>9</v>
      </c>
      <c r="G95" s="198">
        <v>74</v>
      </c>
      <c r="H95" s="127">
        <f t="shared" si="28"/>
        <v>0.67</v>
      </c>
      <c r="I95" s="127">
        <f t="shared" si="23"/>
        <v>1.01</v>
      </c>
      <c r="J95" s="28">
        <f t="shared" si="3"/>
        <v>74.74</v>
      </c>
      <c r="K95" s="29">
        <f t="shared" si="36"/>
        <v>49.580000000000005</v>
      </c>
      <c r="L95" s="30">
        <f aca="true" t="shared" si="37" ref="L95:L105">+J95-K95</f>
        <v>25.15999999999999</v>
      </c>
      <c r="M95" s="27">
        <f t="shared" si="29"/>
        <v>-1.2319127145576205</v>
      </c>
      <c r="N95" s="19">
        <f t="shared" si="30"/>
        <v>23.92808728544237</v>
      </c>
      <c r="O95" s="27">
        <f t="shared" si="31"/>
        <v>0.69</v>
      </c>
      <c r="P95" s="27">
        <f t="shared" si="32"/>
        <v>51.059999999999995</v>
      </c>
      <c r="Q95" s="27">
        <f t="shared" si="33"/>
        <v>1.4799999999999898</v>
      </c>
      <c r="R95" s="19">
        <f t="shared" si="34"/>
        <v>22.44808728544238</v>
      </c>
    </row>
    <row r="96" spans="1:18" ht="12.75">
      <c r="A96" s="3">
        <v>5</v>
      </c>
      <c r="B96" s="9">
        <f t="shared" si="5"/>
        <v>43221</v>
      </c>
      <c r="C96" s="126">
        <f aca="true" t="shared" si="38" ref="C96:D116">+C84</f>
        <v>43256</v>
      </c>
      <c r="D96" s="126">
        <f t="shared" si="38"/>
        <v>43271</v>
      </c>
      <c r="E96" s="20" t="s">
        <v>8</v>
      </c>
      <c r="F96" s="3">
        <v>9</v>
      </c>
      <c r="G96" s="198">
        <v>138</v>
      </c>
      <c r="H96" s="127">
        <f t="shared" si="28"/>
        <v>0.67</v>
      </c>
      <c r="I96" s="127">
        <f t="shared" si="23"/>
        <v>1.01</v>
      </c>
      <c r="J96" s="28">
        <f t="shared" si="3"/>
        <v>139.38</v>
      </c>
      <c r="K96" s="29">
        <f t="shared" si="36"/>
        <v>92.46000000000001</v>
      </c>
      <c r="L96" s="30">
        <f t="shared" si="37"/>
        <v>46.91999999999999</v>
      </c>
      <c r="M96" s="27">
        <f t="shared" si="29"/>
        <v>-2.297350737958806</v>
      </c>
      <c r="N96" s="19">
        <f t="shared" si="30"/>
        <v>44.62264926204118</v>
      </c>
      <c r="O96" s="27">
        <f t="shared" si="31"/>
        <v>0.69</v>
      </c>
      <c r="P96" s="27">
        <f t="shared" si="32"/>
        <v>95.22</v>
      </c>
      <c r="Q96" s="27">
        <f t="shared" si="33"/>
        <v>2.759999999999991</v>
      </c>
      <c r="R96" s="19">
        <f t="shared" si="34"/>
        <v>41.86264926204119</v>
      </c>
    </row>
    <row r="97" spans="1:18" ht="12.75">
      <c r="A97" s="3">
        <v>6</v>
      </c>
      <c r="B97" s="9">
        <f t="shared" si="5"/>
        <v>43252</v>
      </c>
      <c r="C97" s="126">
        <f t="shared" si="38"/>
        <v>43286</v>
      </c>
      <c r="D97" s="126">
        <f t="shared" si="38"/>
        <v>43301</v>
      </c>
      <c r="E97" s="20" t="s">
        <v>8</v>
      </c>
      <c r="F97" s="3">
        <v>9</v>
      </c>
      <c r="G97" s="198">
        <v>149</v>
      </c>
      <c r="H97" s="127">
        <f t="shared" si="28"/>
        <v>0.67</v>
      </c>
      <c r="I97" s="127">
        <f t="shared" si="23"/>
        <v>1.01</v>
      </c>
      <c r="J97" s="28">
        <f t="shared" si="3"/>
        <v>150.49</v>
      </c>
      <c r="K97" s="29">
        <f t="shared" si="36"/>
        <v>99.83000000000001</v>
      </c>
      <c r="L97" s="39">
        <f t="shared" si="37"/>
        <v>50.66</v>
      </c>
      <c r="M97" s="27">
        <f t="shared" si="29"/>
        <v>-2.480472898230885</v>
      </c>
      <c r="N97" s="19">
        <f t="shared" si="30"/>
        <v>48.17952710176911</v>
      </c>
      <c r="O97" s="27">
        <f t="shared" si="31"/>
        <v>0.69</v>
      </c>
      <c r="P97" s="27">
        <f t="shared" si="32"/>
        <v>102.80999999999999</v>
      </c>
      <c r="Q97" s="27">
        <f t="shared" si="33"/>
        <v>2.9799999999999756</v>
      </c>
      <c r="R97" s="19">
        <f t="shared" si="34"/>
        <v>45.199527101769135</v>
      </c>
    </row>
    <row r="98" spans="1:18" ht="12.75">
      <c r="A98" s="10">
        <v>7</v>
      </c>
      <c r="B98" s="9">
        <f t="shared" si="5"/>
        <v>43282</v>
      </c>
      <c r="C98" s="126">
        <f t="shared" si="38"/>
        <v>43315</v>
      </c>
      <c r="D98" s="126">
        <f t="shared" si="38"/>
        <v>43330</v>
      </c>
      <c r="E98" s="20" t="s">
        <v>8</v>
      </c>
      <c r="F98" s="3">
        <v>9</v>
      </c>
      <c r="G98" s="198">
        <v>160</v>
      </c>
      <c r="H98" s="127">
        <f t="shared" si="28"/>
        <v>0.67</v>
      </c>
      <c r="I98" s="127">
        <f t="shared" si="23"/>
        <v>1.01</v>
      </c>
      <c r="J98" s="28">
        <f t="shared" si="3"/>
        <v>161.6</v>
      </c>
      <c r="K98" s="37">
        <f t="shared" si="36"/>
        <v>107.2</v>
      </c>
      <c r="L98" s="39">
        <f t="shared" si="37"/>
        <v>54.39999999999999</v>
      </c>
      <c r="M98" s="27">
        <f t="shared" si="29"/>
        <v>-2.6635950585029633</v>
      </c>
      <c r="N98" s="19">
        <f t="shared" si="30"/>
        <v>51.73640494149703</v>
      </c>
      <c r="O98" s="27">
        <f t="shared" si="31"/>
        <v>0.69</v>
      </c>
      <c r="P98" s="27">
        <f t="shared" si="32"/>
        <v>110.39999999999999</v>
      </c>
      <c r="Q98" s="27">
        <f t="shared" si="33"/>
        <v>3.1999999999999886</v>
      </c>
      <c r="R98" s="19">
        <f t="shared" si="34"/>
        <v>48.53640494149704</v>
      </c>
    </row>
    <row r="99" spans="1:18" ht="12.75">
      <c r="A99" s="3">
        <v>8</v>
      </c>
      <c r="B99" s="9">
        <f t="shared" si="5"/>
        <v>43313</v>
      </c>
      <c r="C99" s="126">
        <f t="shared" si="38"/>
        <v>43348</v>
      </c>
      <c r="D99" s="126">
        <f t="shared" si="38"/>
        <v>43363</v>
      </c>
      <c r="E99" s="20" t="s">
        <v>8</v>
      </c>
      <c r="F99" s="3">
        <v>9</v>
      </c>
      <c r="G99" s="198">
        <v>143</v>
      </c>
      <c r="H99" s="127">
        <f t="shared" si="28"/>
        <v>0.67</v>
      </c>
      <c r="I99" s="127">
        <f t="shared" si="23"/>
        <v>1.01</v>
      </c>
      <c r="J99" s="28">
        <f t="shared" si="3"/>
        <v>144.43</v>
      </c>
      <c r="K99" s="37">
        <f t="shared" si="36"/>
        <v>95.81</v>
      </c>
      <c r="L99" s="39">
        <f t="shared" si="37"/>
        <v>48.620000000000005</v>
      </c>
      <c r="M99" s="27">
        <f t="shared" si="29"/>
        <v>-2.3805880835370234</v>
      </c>
      <c r="N99" s="19">
        <f t="shared" si="30"/>
        <v>46.239411916462984</v>
      </c>
      <c r="O99" s="27">
        <f t="shared" si="31"/>
        <v>0.69</v>
      </c>
      <c r="P99" s="27">
        <f t="shared" si="32"/>
        <v>98.66999999999999</v>
      </c>
      <c r="Q99" s="27">
        <f t="shared" si="33"/>
        <v>2.859999999999985</v>
      </c>
      <c r="R99" s="19">
        <f t="shared" si="34"/>
        <v>43.379411916463</v>
      </c>
    </row>
    <row r="100" spans="1:18" ht="12.75">
      <c r="A100" s="3">
        <v>9</v>
      </c>
      <c r="B100" s="9">
        <f t="shared" si="5"/>
        <v>43344</v>
      </c>
      <c r="C100" s="126">
        <f t="shared" si="38"/>
        <v>43376</v>
      </c>
      <c r="D100" s="126">
        <f t="shared" si="38"/>
        <v>43391</v>
      </c>
      <c r="E100" s="20" t="s">
        <v>8</v>
      </c>
      <c r="F100" s="3">
        <v>9</v>
      </c>
      <c r="G100" s="198">
        <v>130</v>
      </c>
      <c r="H100" s="127">
        <f t="shared" si="28"/>
        <v>0.67</v>
      </c>
      <c r="I100" s="127">
        <f t="shared" si="23"/>
        <v>1.01</v>
      </c>
      <c r="J100" s="28">
        <f t="shared" si="3"/>
        <v>131.3</v>
      </c>
      <c r="K100" s="37">
        <f t="shared" si="36"/>
        <v>87.10000000000001</v>
      </c>
      <c r="L100" s="39">
        <f t="shared" si="37"/>
        <v>44.2</v>
      </c>
      <c r="M100" s="27">
        <f t="shared" si="29"/>
        <v>-2.1641709850336577</v>
      </c>
      <c r="N100" s="19">
        <f t="shared" si="30"/>
        <v>42.035829014966346</v>
      </c>
      <c r="O100" s="27">
        <f t="shared" si="31"/>
        <v>0.69</v>
      </c>
      <c r="P100" s="27">
        <f t="shared" si="32"/>
        <v>89.69999999999999</v>
      </c>
      <c r="Q100" s="27">
        <f t="shared" si="33"/>
        <v>2.59999999999998</v>
      </c>
      <c r="R100" s="19">
        <f t="shared" si="34"/>
        <v>39.435829014966366</v>
      </c>
    </row>
    <row r="101" spans="1:18" ht="12.75">
      <c r="A101" s="10">
        <v>10</v>
      </c>
      <c r="B101" s="9">
        <f t="shared" si="5"/>
        <v>43374</v>
      </c>
      <c r="C101" s="126">
        <f t="shared" si="38"/>
        <v>43409</v>
      </c>
      <c r="D101" s="126">
        <f t="shared" si="38"/>
        <v>43424</v>
      </c>
      <c r="E101" s="20" t="s">
        <v>8</v>
      </c>
      <c r="F101" s="3">
        <v>9</v>
      </c>
      <c r="G101" s="198">
        <v>117</v>
      </c>
      <c r="H101" s="127">
        <f t="shared" si="28"/>
        <v>0.67</v>
      </c>
      <c r="I101" s="127">
        <f t="shared" si="23"/>
        <v>1.01</v>
      </c>
      <c r="J101" s="28">
        <f t="shared" si="3"/>
        <v>118.17</v>
      </c>
      <c r="K101" s="37">
        <f t="shared" si="36"/>
        <v>78.39</v>
      </c>
      <c r="L101" s="39">
        <f t="shared" si="37"/>
        <v>39.78</v>
      </c>
      <c r="M101" s="27">
        <f t="shared" si="29"/>
        <v>-1.947753886530292</v>
      </c>
      <c r="N101" s="19">
        <f t="shared" si="30"/>
        <v>37.83224611346971</v>
      </c>
      <c r="O101" s="27">
        <f t="shared" si="31"/>
        <v>0.69</v>
      </c>
      <c r="P101" s="27">
        <f t="shared" si="32"/>
        <v>80.72999999999999</v>
      </c>
      <c r="Q101" s="27">
        <f t="shared" si="33"/>
        <v>2.339999999999989</v>
      </c>
      <c r="R101" s="19">
        <f t="shared" si="34"/>
        <v>35.49224611346972</v>
      </c>
    </row>
    <row r="102" spans="1:18" ht="12.75">
      <c r="A102" s="3">
        <v>11</v>
      </c>
      <c r="B102" s="9">
        <f t="shared" si="5"/>
        <v>43405</v>
      </c>
      <c r="C102" s="126">
        <f t="shared" si="38"/>
        <v>43439</v>
      </c>
      <c r="D102" s="126">
        <f t="shared" si="38"/>
        <v>43454</v>
      </c>
      <c r="E102" s="20" t="s">
        <v>8</v>
      </c>
      <c r="F102" s="3">
        <v>9</v>
      </c>
      <c r="G102" s="198">
        <v>74</v>
      </c>
      <c r="H102" s="127">
        <f t="shared" si="28"/>
        <v>0.67</v>
      </c>
      <c r="I102" s="127">
        <f t="shared" si="23"/>
        <v>1.01</v>
      </c>
      <c r="J102" s="28">
        <f t="shared" si="3"/>
        <v>74.74</v>
      </c>
      <c r="K102" s="37">
        <f t="shared" si="36"/>
        <v>49.580000000000005</v>
      </c>
      <c r="L102" s="39">
        <f t="shared" si="37"/>
        <v>25.15999999999999</v>
      </c>
      <c r="M102" s="27">
        <f t="shared" si="29"/>
        <v>-1.2319127145576205</v>
      </c>
      <c r="N102" s="19">
        <f t="shared" si="30"/>
        <v>23.92808728544237</v>
      </c>
      <c r="O102" s="27">
        <f t="shared" si="31"/>
        <v>0.69</v>
      </c>
      <c r="P102" s="27">
        <f t="shared" si="32"/>
        <v>51.059999999999995</v>
      </c>
      <c r="Q102" s="27">
        <f t="shared" si="33"/>
        <v>1.4799999999999898</v>
      </c>
      <c r="R102" s="19">
        <f t="shared" si="34"/>
        <v>22.44808728544238</v>
      </c>
    </row>
    <row r="103" spans="1:18" s="34" customFormat="1" ht="12.75">
      <c r="A103" s="3">
        <v>12</v>
      </c>
      <c r="B103" s="44">
        <f t="shared" si="5"/>
        <v>43435</v>
      </c>
      <c r="C103" s="126">
        <f t="shared" si="38"/>
        <v>43468</v>
      </c>
      <c r="D103" s="126">
        <f t="shared" si="38"/>
        <v>43483</v>
      </c>
      <c r="E103" s="45" t="s">
        <v>8</v>
      </c>
      <c r="F103" s="42">
        <v>9</v>
      </c>
      <c r="G103" s="199">
        <v>76</v>
      </c>
      <c r="H103" s="127">
        <f t="shared" si="28"/>
        <v>0.67</v>
      </c>
      <c r="I103" s="128">
        <f t="shared" si="23"/>
        <v>1.01</v>
      </c>
      <c r="J103" s="46">
        <f t="shared" si="3"/>
        <v>76.76</v>
      </c>
      <c r="K103" s="47">
        <f t="shared" si="36"/>
        <v>50.92</v>
      </c>
      <c r="L103" s="48">
        <f t="shared" si="37"/>
        <v>25.840000000000003</v>
      </c>
      <c r="M103" s="27">
        <f t="shared" si="29"/>
        <v>-1.2652076527889076</v>
      </c>
      <c r="N103" s="19">
        <f t="shared" si="30"/>
        <v>24.574792347211094</v>
      </c>
      <c r="O103" s="27">
        <f t="shared" si="31"/>
        <v>0.69</v>
      </c>
      <c r="P103" s="27">
        <f t="shared" si="32"/>
        <v>52.44</v>
      </c>
      <c r="Q103" s="27">
        <f t="shared" si="33"/>
        <v>1.519999999999996</v>
      </c>
      <c r="R103" s="19">
        <f t="shared" si="34"/>
        <v>23.054792347211098</v>
      </c>
    </row>
    <row r="104" spans="1:18" ht="12.75">
      <c r="A104" s="10">
        <v>1</v>
      </c>
      <c r="B104" s="9">
        <f t="shared" si="5"/>
        <v>43101</v>
      </c>
      <c r="C104" s="125">
        <f t="shared" si="38"/>
        <v>43136</v>
      </c>
      <c r="D104" s="125">
        <f t="shared" si="38"/>
        <v>43151</v>
      </c>
      <c r="E104" s="60" t="s">
        <v>19</v>
      </c>
      <c r="F104" s="10">
        <v>9</v>
      </c>
      <c r="G104" s="198">
        <v>21</v>
      </c>
      <c r="H104" s="127">
        <f t="shared" si="28"/>
        <v>0.67</v>
      </c>
      <c r="I104" s="127">
        <f t="shared" si="23"/>
        <v>1.01</v>
      </c>
      <c r="J104" s="28">
        <f t="shared" si="3"/>
        <v>21.21</v>
      </c>
      <c r="K104" s="29">
        <f t="shared" si="36"/>
        <v>14.07</v>
      </c>
      <c r="L104" s="30">
        <f t="shared" si="37"/>
        <v>7.140000000000001</v>
      </c>
      <c r="M104" s="27">
        <f t="shared" si="29"/>
        <v>-0.34959685142851393</v>
      </c>
      <c r="N104" s="19">
        <f t="shared" si="30"/>
        <v>6.790403148571487</v>
      </c>
      <c r="O104" s="27">
        <f t="shared" si="31"/>
        <v>0.69</v>
      </c>
      <c r="P104" s="27">
        <f t="shared" si="32"/>
        <v>14.489999999999998</v>
      </c>
      <c r="Q104" s="27">
        <f t="shared" si="33"/>
        <v>0.41999999999999815</v>
      </c>
      <c r="R104" s="19">
        <f t="shared" si="34"/>
        <v>6.370403148571489</v>
      </c>
    </row>
    <row r="105" spans="1:18" ht="12.75">
      <c r="A105" s="3">
        <v>2</v>
      </c>
      <c r="B105" s="9">
        <f t="shared" si="5"/>
        <v>43132</v>
      </c>
      <c r="C105" s="126">
        <f t="shared" si="38"/>
        <v>43164</v>
      </c>
      <c r="D105" s="126">
        <f t="shared" si="38"/>
        <v>43179</v>
      </c>
      <c r="E105" s="35" t="s">
        <v>19</v>
      </c>
      <c r="F105" s="3">
        <v>9</v>
      </c>
      <c r="G105" s="198">
        <v>12</v>
      </c>
      <c r="H105" s="127">
        <f t="shared" si="28"/>
        <v>0.67</v>
      </c>
      <c r="I105" s="127">
        <f t="shared" si="23"/>
        <v>1.01</v>
      </c>
      <c r="J105" s="28">
        <f t="shared" si="3"/>
        <v>12.120000000000001</v>
      </c>
      <c r="K105" s="29">
        <f t="shared" si="36"/>
        <v>8.040000000000001</v>
      </c>
      <c r="L105" s="30">
        <f t="shared" si="37"/>
        <v>4.08</v>
      </c>
      <c r="M105" s="27">
        <f t="shared" si="29"/>
        <v>-0.19976962938772225</v>
      </c>
      <c r="N105" s="19">
        <f t="shared" si="30"/>
        <v>3.880230370612278</v>
      </c>
      <c r="O105" s="27">
        <f t="shared" si="31"/>
        <v>0.69</v>
      </c>
      <c r="P105" s="27">
        <f t="shared" si="32"/>
        <v>8.28</v>
      </c>
      <c r="Q105" s="27">
        <f t="shared" si="33"/>
        <v>0.23999999999999844</v>
      </c>
      <c r="R105" s="19">
        <f t="shared" si="34"/>
        <v>3.6402303706122794</v>
      </c>
    </row>
    <row r="106" spans="1:18" ht="12.75">
      <c r="A106" s="3">
        <v>3</v>
      </c>
      <c r="B106" s="9">
        <f t="shared" si="5"/>
        <v>43160</v>
      </c>
      <c r="C106" s="126">
        <f t="shared" si="38"/>
        <v>43194</v>
      </c>
      <c r="D106" s="126">
        <f t="shared" si="38"/>
        <v>43209</v>
      </c>
      <c r="E106" s="35" t="s">
        <v>19</v>
      </c>
      <c r="F106" s="3">
        <v>9</v>
      </c>
      <c r="G106" s="198">
        <v>22</v>
      </c>
      <c r="H106" s="127">
        <f t="shared" si="28"/>
        <v>0.67</v>
      </c>
      <c r="I106" s="127">
        <f t="shared" si="23"/>
        <v>1.01</v>
      </c>
      <c r="J106" s="28">
        <f t="shared" si="3"/>
        <v>22.22</v>
      </c>
      <c r="K106" s="29">
        <f t="shared" si="36"/>
        <v>14.74</v>
      </c>
      <c r="L106" s="30">
        <f>+J106-K106</f>
        <v>7.479999999999999</v>
      </c>
      <c r="M106" s="27">
        <f t="shared" si="29"/>
        <v>-0.36624432054415745</v>
      </c>
      <c r="N106" s="19">
        <f t="shared" si="30"/>
        <v>7.113755679455841</v>
      </c>
      <c r="O106" s="27">
        <f t="shared" si="31"/>
        <v>0.69</v>
      </c>
      <c r="P106" s="27">
        <f t="shared" si="32"/>
        <v>15.18</v>
      </c>
      <c r="Q106" s="27">
        <f t="shared" si="33"/>
        <v>0.4399999999999995</v>
      </c>
      <c r="R106" s="19">
        <f t="shared" si="34"/>
        <v>6.673755679455842</v>
      </c>
    </row>
    <row r="107" spans="1:18" ht="12.75">
      <c r="A107" s="10">
        <v>4</v>
      </c>
      <c r="B107" s="9">
        <f t="shared" si="5"/>
        <v>43191</v>
      </c>
      <c r="C107" s="126">
        <f t="shared" si="38"/>
        <v>43223</v>
      </c>
      <c r="D107" s="126">
        <f t="shared" si="38"/>
        <v>43238</v>
      </c>
      <c r="E107" s="20" t="s">
        <v>19</v>
      </c>
      <c r="F107" s="3">
        <v>9</v>
      </c>
      <c r="G107" s="198">
        <v>15</v>
      </c>
      <c r="H107" s="127">
        <f t="shared" si="28"/>
        <v>0.67</v>
      </c>
      <c r="I107" s="127">
        <f t="shared" si="23"/>
        <v>1.01</v>
      </c>
      <c r="J107" s="28">
        <f t="shared" si="3"/>
        <v>15.15</v>
      </c>
      <c r="K107" s="29">
        <f t="shared" si="36"/>
        <v>10.05</v>
      </c>
      <c r="L107" s="30">
        <f aca="true" t="shared" si="39" ref="L107:L115">+J107-K107</f>
        <v>5.1</v>
      </c>
      <c r="M107" s="27">
        <f t="shared" si="29"/>
        <v>-0.24971203673465284</v>
      </c>
      <c r="N107" s="19">
        <f t="shared" si="30"/>
        <v>4.850287963265346</v>
      </c>
      <c r="O107" s="27">
        <f t="shared" si="31"/>
        <v>0.69</v>
      </c>
      <c r="P107" s="27">
        <f t="shared" si="32"/>
        <v>10.35</v>
      </c>
      <c r="Q107" s="27">
        <f t="shared" si="33"/>
        <v>0.29999999999999893</v>
      </c>
      <c r="R107" s="19">
        <f t="shared" si="34"/>
        <v>4.5502879632653475</v>
      </c>
    </row>
    <row r="108" spans="1:18" ht="12.75">
      <c r="A108" s="3">
        <v>5</v>
      </c>
      <c r="B108" s="9">
        <f t="shared" si="5"/>
        <v>43221</v>
      </c>
      <c r="C108" s="126">
        <f t="shared" si="38"/>
        <v>43256</v>
      </c>
      <c r="D108" s="126">
        <f t="shared" si="38"/>
        <v>43271</v>
      </c>
      <c r="E108" s="20" t="s">
        <v>19</v>
      </c>
      <c r="F108" s="3">
        <v>9</v>
      </c>
      <c r="G108" s="198">
        <v>23</v>
      </c>
      <c r="H108" s="127">
        <f t="shared" si="28"/>
        <v>0.67</v>
      </c>
      <c r="I108" s="127">
        <f aca="true" t="shared" si="40" ref="I108:I127">$J$3</f>
        <v>1.01</v>
      </c>
      <c r="J108" s="28">
        <f t="shared" si="3"/>
        <v>23.23</v>
      </c>
      <c r="K108" s="29">
        <f t="shared" si="36"/>
        <v>15.41</v>
      </c>
      <c r="L108" s="30">
        <f t="shared" si="39"/>
        <v>7.82</v>
      </c>
      <c r="M108" s="27">
        <f t="shared" si="29"/>
        <v>-0.382891789659801</v>
      </c>
      <c r="N108" s="19">
        <f t="shared" si="30"/>
        <v>7.437108210340199</v>
      </c>
      <c r="O108" s="27">
        <f t="shared" si="31"/>
        <v>0.69</v>
      </c>
      <c r="P108" s="27">
        <f t="shared" si="32"/>
        <v>15.87</v>
      </c>
      <c r="Q108" s="27">
        <f t="shared" si="33"/>
        <v>0.4599999999999991</v>
      </c>
      <c r="R108" s="19">
        <f t="shared" si="34"/>
        <v>6.9771082103402</v>
      </c>
    </row>
    <row r="109" spans="1:18" ht="12.75">
      <c r="A109" s="3">
        <v>6</v>
      </c>
      <c r="B109" s="9">
        <f aca="true" t="shared" si="41" ref="B109:B148">DATE($R$1,A109,1)</f>
        <v>43252</v>
      </c>
      <c r="C109" s="126">
        <f t="shared" si="38"/>
        <v>43286</v>
      </c>
      <c r="D109" s="126">
        <f t="shared" si="38"/>
        <v>43301</v>
      </c>
      <c r="E109" s="20" t="s">
        <v>19</v>
      </c>
      <c r="F109" s="3">
        <v>9</v>
      </c>
      <c r="G109" s="198">
        <v>19</v>
      </c>
      <c r="H109" s="127">
        <f t="shared" si="28"/>
        <v>0.67</v>
      </c>
      <c r="I109" s="127">
        <f t="shared" si="40"/>
        <v>1.01</v>
      </c>
      <c r="J109" s="28">
        <f aca="true" t="shared" si="42" ref="J109:J148">+$G109*I109</f>
        <v>19.19</v>
      </c>
      <c r="K109" s="29">
        <f t="shared" si="36"/>
        <v>12.73</v>
      </c>
      <c r="L109" s="39">
        <f t="shared" si="39"/>
        <v>6.460000000000001</v>
      </c>
      <c r="M109" s="27">
        <f t="shared" si="29"/>
        <v>-0.3163019131972269</v>
      </c>
      <c r="N109" s="19">
        <f t="shared" si="30"/>
        <v>6.1436980868027735</v>
      </c>
      <c r="O109" s="27">
        <f t="shared" si="31"/>
        <v>0.69</v>
      </c>
      <c r="P109" s="27">
        <f t="shared" si="32"/>
        <v>13.11</v>
      </c>
      <c r="Q109" s="27">
        <f t="shared" si="33"/>
        <v>0.379999999999999</v>
      </c>
      <c r="R109" s="19">
        <f t="shared" si="34"/>
        <v>5.7636980868027745</v>
      </c>
    </row>
    <row r="110" spans="1:18" ht="12.75">
      <c r="A110" s="10">
        <v>7</v>
      </c>
      <c r="B110" s="9">
        <f t="shared" si="41"/>
        <v>43282</v>
      </c>
      <c r="C110" s="126">
        <f t="shared" si="38"/>
        <v>43315</v>
      </c>
      <c r="D110" s="126">
        <f t="shared" si="38"/>
        <v>43330</v>
      </c>
      <c r="E110" s="20" t="s">
        <v>19</v>
      </c>
      <c r="F110" s="3">
        <v>9</v>
      </c>
      <c r="G110" s="198">
        <v>19</v>
      </c>
      <c r="H110" s="127">
        <f t="shared" si="28"/>
        <v>0.67</v>
      </c>
      <c r="I110" s="127">
        <f t="shared" si="40"/>
        <v>1.01</v>
      </c>
      <c r="J110" s="28">
        <f t="shared" si="42"/>
        <v>19.19</v>
      </c>
      <c r="K110" s="37">
        <f t="shared" si="36"/>
        <v>12.73</v>
      </c>
      <c r="L110" s="39">
        <f t="shared" si="39"/>
        <v>6.460000000000001</v>
      </c>
      <c r="M110" s="27">
        <f t="shared" si="29"/>
        <v>-0.3163019131972269</v>
      </c>
      <c r="N110" s="19">
        <f t="shared" si="30"/>
        <v>6.1436980868027735</v>
      </c>
      <c r="O110" s="27">
        <f t="shared" si="31"/>
        <v>0.69</v>
      </c>
      <c r="P110" s="27">
        <f t="shared" si="32"/>
        <v>13.11</v>
      </c>
      <c r="Q110" s="27">
        <f t="shared" si="33"/>
        <v>0.379999999999999</v>
      </c>
      <c r="R110" s="19">
        <f t="shared" si="34"/>
        <v>5.7636980868027745</v>
      </c>
    </row>
    <row r="111" spans="1:18" ht="12.75">
      <c r="A111" s="3">
        <v>8</v>
      </c>
      <c r="B111" s="9">
        <f t="shared" si="41"/>
        <v>43313</v>
      </c>
      <c r="C111" s="126">
        <f t="shared" si="38"/>
        <v>43348</v>
      </c>
      <c r="D111" s="126">
        <f t="shared" si="38"/>
        <v>43363</v>
      </c>
      <c r="E111" s="20" t="s">
        <v>19</v>
      </c>
      <c r="F111" s="3">
        <v>9</v>
      </c>
      <c r="G111" s="198">
        <v>18</v>
      </c>
      <c r="H111" s="127">
        <f t="shared" si="28"/>
        <v>0.67</v>
      </c>
      <c r="I111" s="127">
        <f t="shared" si="40"/>
        <v>1.01</v>
      </c>
      <c r="J111" s="28">
        <f t="shared" si="42"/>
        <v>18.18</v>
      </c>
      <c r="K111" s="37">
        <f t="shared" si="36"/>
        <v>12.06</v>
      </c>
      <c r="L111" s="39">
        <f t="shared" si="39"/>
        <v>6.119999999999999</v>
      </c>
      <c r="M111" s="27">
        <f t="shared" si="29"/>
        <v>-0.29965444408158337</v>
      </c>
      <c r="N111" s="19">
        <f t="shared" si="30"/>
        <v>5.820345555918416</v>
      </c>
      <c r="O111" s="27">
        <f t="shared" si="31"/>
        <v>0.69</v>
      </c>
      <c r="P111" s="27">
        <f t="shared" si="32"/>
        <v>12.419999999999998</v>
      </c>
      <c r="Q111" s="27">
        <f t="shared" si="33"/>
        <v>0.35999999999999766</v>
      </c>
      <c r="R111" s="19">
        <f t="shared" si="34"/>
        <v>5.460345555918418</v>
      </c>
    </row>
    <row r="112" spans="1:18" ht="12.75">
      <c r="A112" s="3">
        <v>9</v>
      </c>
      <c r="B112" s="9">
        <f t="shared" si="41"/>
        <v>43344</v>
      </c>
      <c r="C112" s="126">
        <f t="shared" si="38"/>
        <v>43376</v>
      </c>
      <c r="D112" s="126">
        <f t="shared" si="38"/>
        <v>43391</v>
      </c>
      <c r="E112" s="20" t="s">
        <v>19</v>
      </c>
      <c r="F112" s="3">
        <v>9</v>
      </c>
      <c r="G112" s="198">
        <v>13</v>
      </c>
      <c r="H112" s="127">
        <f t="shared" si="28"/>
        <v>0.67</v>
      </c>
      <c r="I112" s="127">
        <f t="shared" si="40"/>
        <v>1.01</v>
      </c>
      <c r="J112" s="28">
        <f t="shared" si="42"/>
        <v>13.13</v>
      </c>
      <c r="K112" s="37">
        <f t="shared" si="36"/>
        <v>8.71</v>
      </c>
      <c r="L112" s="39">
        <f t="shared" si="39"/>
        <v>4.42</v>
      </c>
      <c r="M112" s="27">
        <f t="shared" si="29"/>
        <v>-0.2164170985033658</v>
      </c>
      <c r="N112" s="19">
        <f t="shared" si="30"/>
        <v>4.203582901496634</v>
      </c>
      <c r="O112" s="27">
        <f t="shared" si="31"/>
        <v>0.69</v>
      </c>
      <c r="P112" s="27">
        <f t="shared" si="32"/>
        <v>8.969999999999999</v>
      </c>
      <c r="Q112" s="27">
        <f t="shared" si="33"/>
        <v>0.259999999999998</v>
      </c>
      <c r="R112" s="19">
        <f t="shared" si="34"/>
        <v>3.9435829014966357</v>
      </c>
    </row>
    <row r="113" spans="1:18" ht="12.75">
      <c r="A113" s="10">
        <v>10</v>
      </c>
      <c r="B113" s="9">
        <f t="shared" si="41"/>
        <v>43374</v>
      </c>
      <c r="C113" s="126">
        <f t="shared" si="38"/>
        <v>43409</v>
      </c>
      <c r="D113" s="126">
        <f t="shared" si="38"/>
        <v>43424</v>
      </c>
      <c r="E113" s="20" t="s">
        <v>19</v>
      </c>
      <c r="F113" s="3">
        <v>9</v>
      </c>
      <c r="G113" s="198">
        <v>15</v>
      </c>
      <c r="H113" s="127">
        <f t="shared" si="28"/>
        <v>0.67</v>
      </c>
      <c r="I113" s="127">
        <f t="shared" si="40"/>
        <v>1.01</v>
      </c>
      <c r="J113" s="28">
        <f t="shared" si="42"/>
        <v>15.15</v>
      </c>
      <c r="K113" s="37">
        <f t="shared" si="36"/>
        <v>10.05</v>
      </c>
      <c r="L113" s="39">
        <f t="shared" si="39"/>
        <v>5.1</v>
      </c>
      <c r="M113" s="27">
        <f t="shared" si="29"/>
        <v>-0.24971203673465284</v>
      </c>
      <c r="N113" s="19">
        <f t="shared" si="30"/>
        <v>4.850287963265346</v>
      </c>
      <c r="O113" s="27">
        <f t="shared" si="31"/>
        <v>0.69</v>
      </c>
      <c r="P113" s="27">
        <f t="shared" si="32"/>
        <v>10.35</v>
      </c>
      <c r="Q113" s="27">
        <f t="shared" si="33"/>
        <v>0.29999999999999893</v>
      </c>
      <c r="R113" s="19">
        <f t="shared" si="34"/>
        <v>4.5502879632653475</v>
      </c>
    </row>
    <row r="114" spans="1:18" ht="12.75">
      <c r="A114" s="3">
        <v>11</v>
      </c>
      <c r="B114" s="9">
        <f t="shared" si="41"/>
        <v>43405</v>
      </c>
      <c r="C114" s="126">
        <f t="shared" si="38"/>
        <v>43439</v>
      </c>
      <c r="D114" s="126">
        <f t="shared" si="38"/>
        <v>43454</v>
      </c>
      <c r="E114" s="20" t="s">
        <v>19</v>
      </c>
      <c r="F114" s="3">
        <v>9</v>
      </c>
      <c r="G114" s="198">
        <v>22</v>
      </c>
      <c r="H114" s="127">
        <f t="shared" si="28"/>
        <v>0.67</v>
      </c>
      <c r="I114" s="127">
        <f t="shared" si="40"/>
        <v>1.01</v>
      </c>
      <c r="J114" s="28">
        <f t="shared" si="42"/>
        <v>22.22</v>
      </c>
      <c r="K114" s="37">
        <f t="shared" si="36"/>
        <v>14.74</v>
      </c>
      <c r="L114" s="39">
        <f t="shared" si="39"/>
        <v>7.479999999999999</v>
      </c>
      <c r="M114" s="27">
        <f t="shared" si="29"/>
        <v>-0.36624432054415745</v>
      </c>
      <c r="N114" s="19">
        <f t="shared" si="30"/>
        <v>7.113755679455841</v>
      </c>
      <c r="O114" s="27">
        <f t="shared" si="31"/>
        <v>0.69</v>
      </c>
      <c r="P114" s="27">
        <f t="shared" si="32"/>
        <v>15.18</v>
      </c>
      <c r="Q114" s="27">
        <f t="shared" si="33"/>
        <v>0.4399999999999995</v>
      </c>
      <c r="R114" s="19">
        <f t="shared" si="34"/>
        <v>6.673755679455842</v>
      </c>
    </row>
    <row r="115" spans="1:18" s="34" customFormat="1" ht="12.75">
      <c r="A115" s="3">
        <v>12</v>
      </c>
      <c r="B115" s="44">
        <f t="shared" si="41"/>
        <v>43435</v>
      </c>
      <c r="C115" s="137">
        <f t="shared" si="38"/>
        <v>43468</v>
      </c>
      <c r="D115" s="137">
        <f t="shared" si="38"/>
        <v>43483</v>
      </c>
      <c r="E115" s="45" t="s">
        <v>19</v>
      </c>
      <c r="F115" s="42">
        <v>9</v>
      </c>
      <c r="G115" s="199">
        <v>20</v>
      </c>
      <c r="H115" s="127">
        <f t="shared" si="28"/>
        <v>0.67</v>
      </c>
      <c r="I115" s="128">
        <f t="shared" si="40"/>
        <v>1.01</v>
      </c>
      <c r="J115" s="46">
        <f t="shared" si="42"/>
        <v>20.2</v>
      </c>
      <c r="K115" s="47">
        <f t="shared" si="36"/>
        <v>13.4</v>
      </c>
      <c r="L115" s="48">
        <f t="shared" si="39"/>
        <v>6.799999999999999</v>
      </c>
      <c r="M115" s="27">
        <f t="shared" si="29"/>
        <v>-0.3329493823128704</v>
      </c>
      <c r="N115" s="19">
        <f t="shared" si="30"/>
        <v>6.4670506176871285</v>
      </c>
      <c r="O115" s="27">
        <f t="shared" si="31"/>
        <v>0.69</v>
      </c>
      <c r="P115" s="27">
        <f t="shared" si="32"/>
        <v>13.799999999999999</v>
      </c>
      <c r="Q115" s="27">
        <f t="shared" si="33"/>
        <v>0.3999999999999986</v>
      </c>
      <c r="R115" s="19">
        <f t="shared" si="34"/>
        <v>6.06705061768713</v>
      </c>
    </row>
    <row r="116" spans="1:18" ht="12.75">
      <c r="A116" s="10">
        <v>1</v>
      </c>
      <c r="B116" s="9">
        <f t="shared" si="41"/>
        <v>43101</v>
      </c>
      <c r="C116" s="126">
        <f t="shared" si="38"/>
        <v>43136</v>
      </c>
      <c r="D116" s="126">
        <f t="shared" si="38"/>
        <v>43151</v>
      </c>
      <c r="E116" s="60" t="s">
        <v>13</v>
      </c>
      <c r="F116" s="10">
        <v>9</v>
      </c>
      <c r="G116" s="198">
        <v>1275</v>
      </c>
      <c r="H116" s="127">
        <f t="shared" si="28"/>
        <v>0.67</v>
      </c>
      <c r="I116" s="127">
        <f t="shared" si="40"/>
        <v>1.01</v>
      </c>
      <c r="J116" s="28">
        <f t="shared" si="42"/>
        <v>1287.75</v>
      </c>
      <c r="K116" s="29">
        <f t="shared" si="36"/>
        <v>854.25</v>
      </c>
      <c r="L116" s="30">
        <f>+J116-K116</f>
        <v>433.5</v>
      </c>
      <c r="M116" s="27">
        <f t="shared" si="29"/>
        <v>-21.22552312244549</v>
      </c>
      <c r="N116" s="19">
        <f t="shared" si="30"/>
        <v>412.2744768775545</v>
      </c>
      <c r="O116" s="27">
        <f t="shared" si="31"/>
        <v>0.69</v>
      </c>
      <c r="P116" s="27">
        <f t="shared" si="32"/>
        <v>879.7499999999999</v>
      </c>
      <c r="Q116" s="27">
        <f t="shared" si="33"/>
        <v>25.499999999999886</v>
      </c>
      <c r="R116" s="19">
        <f t="shared" si="34"/>
        <v>386.7744768775546</v>
      </c>
    </row>
    <row r="117" spans="1:18" ht="12.75">
      <c r="A117" s="3">
        <v>2</v>
      </c>
      <c r="B117" s="9">
        <f t="shared" si="41"/>
        <v>43132</v>
      </c>
      <c r="C117" s="126">
        <f aca="true" t="shared" si="43" ref="C117:D139">+C105</f>
        <v>43164</v>
      </c>
      <c r="D117" s="126">
        <f t="shared" si="43"/>
        <v>43179</v>
      </c>
      <c r="E117" s="35" t="s">
        <v>13</v>
      </c>
      <c r="F117" s="3">
        <v>9</v>
      </c>
      <c r="G117" s="198">
        <v>863</v>
      </c>
      <c r="H117" s="127">
        <f t="shared" si="28"/>
        <v>0.67</v>
      </c>
      <c r="I117" s="127">
        <f t="shared" si="40"/>
        <v>1.01</v>
      </c>
      <c r="J117" s="28">
        <f t="shared" si="42"/>
        <v>871.63</v>
      </c>
      <c r="K117" s="29">
        <f t="shared" si="36"/>
        <v>578.21</v>
      </c>
      <c r="L117" s="30">
        <f>+J117-K117</f>
        <v>293.41999999999996</v>
      </c>
      <c r="M117" s="27">
        <f t="shared" si="29"/>
        <v>-14.366765846800359</v>
      </c>
      <c r="N117" s="19">
        <f t="shared" si="30"/>
        <v>279.0532341531996</v>
      </c>
      <c r="O117" s="27">
        <f t="shared" si="31"/>
        <v>0.69</v>
      </c>
      <c r="P117" s="27">
        <f t="shared" si="32"/>
        <v>595.4699999999999</v>
      </c>
      <c r="Q117" s="27">
        <f t="shared" si="33"/>
        <v>17.259999999999877</v>
      </c>
      <c r="R117" s="19">
        <f t="shared" si="34"/>
        <v>261.7932341531997</v>
      </c>
    </row>
    <row r="118" spans="1:18" ht="12.75">
      <c r="A118" s="3">
        <v>3</v>
      </c>
      <c r="B118" s="9">
        <f t="shared" si="41"/>
        <v>43160</v>
      </c>
      <c r="C118" s="126">
        <f t="shared" si="43"/>
        <v>43194</v>
      </c>
      <c r="D118" s="126">
        <f t="shared" si="43"/>
        <v>43209</v>
      </c>
      <c r="E118" s="35" t="s">
        <v>13</v>
      </c>
      <c r="F118" s="3">
        <v>9</v>
      </c>
      <c r="G118" s="198">
        <v>709</v>
      </c>
      <c r="H118" s="127">
        <f t="shared" si="28"/>
        <v>0.67</v>
      </c>
      <c r="I118" s="127">
        <f t="shared" si="40"/>
        <v>1.01</v>
      </c>
      <c r="J118" s="28">
        <f t="shared" si="42"/>
        <v>716.09</v>
      </c>
      <c r="K118" s="29">
        <f t="shared" si="36"/>
        <v>475.03000000000003</v>
      </c>
      <c r="L118" s="30">
        <f>+J118-K118</f>
        <v>241.06</v>
      </c>
      <c r="M118" s="27">
        <f t="shared" si="29"/>
        <v>-11.803055602991257</v>
      </c>
      <c r="N118" s="19">
        <f t="shared" si="30"/>
        <v>229.25694439700874</v>
      </c>
      <c r="O118" s="27">
        <f t="shared" si="31"/>
        <v>0.69</v>
      </c>
      <c r="P118" s="27">
        <f t="shared" si="32"/>
        <v>489.21</v>
      </c>
      <c r="Q118" s="27">
        <f t="shared" si="33"/>
        <v>14.17999999999995</v>
      </c>
      <c r="R118" s="19">
        <f t="shared" si="34"/>
        <v>215.0769443970088</v>
      </c>
    </row>
    <row r="119" spans="1:18" ht="12.75">
      <c r="A119" s="10">
        <v>4</v>
      </c>
      <c r="B119" s="9">
        <f t="shared" si="41"/>
        <v>43191</v>
      </c>
      <c r="C119" s="126">
        <f t="shared" si="43"/>
        <v>43223</v>
      </c>
      <c r="D119" s="126">
        <f t="shared" si="43"/>
        <v>43238</v>
      </c>
      <c r="E119" s="20" t="s">
        <v>13</v>
      </c>
      <c r="F119" s="3">
        <v>9</v>
      </c>
      <c r="G119" s="198">
        <v>497</v>
      </c>
      <c r="H119" s="127">
        <f t="shared" si="28"/>
        <v>0.67</v>
      </c>
      <c r="I119" s="127">
        <f t="shared" si="40"/>
        <v>1.01</v>
      </c>
      <c r="J119" s="28">
        <f t="shared" si="42"/>
        <v>501.97</v>
      </c>
      <c r="K119" s="29">
        <f t="shared" si="36"/>
        <v>332.99</v>
      </c>
      <c r="L119" s="30">
        <f aca="true" t="shared" si="44" ref="L119:L127">+J119-K119</f>
        <v>168.98000000000002</v>
      </c>
      <c r="M119" s="27">
        <f t="shared" si="29"/>
        <v>-8.27379215047483</v>
      </c>
      <c r="N119" s="19">
        <f t="shared" si="30"/>
        <v>160.70620784952519</v>
      </c>
      <c r="O119" s="27">
        <f t="shared" si="31"/>
        <v>0.69</v>
      </c>
      <c r="P119" s="27">
        <f t="shared" si="32"/>
        <v>342.92999999999995</v>
      </c>
      <c r="Q119" s="27">
        <f t="shared" si="33"/>
        <v>9.93999999999994</v>
      </c>
      <c r="R119" s="19">
        <f t="shared" si="34"/>
        <v>150.76620784952524</v>
      </c>
    </row>
    <row r="120" spans="1:18" ht="12.75">
      <c r="A120" s="3">
        <v>5</v>
      </c>
      <c r="B120" s="9">
        <f t="shared" si="41"/>
        <v>43221</v>
      </c>
      <c r="C120" s="126">
        <f t="shared" si="43"/>
        <v>43256</v>
      </c>
      <c r="D120" s="126">
        <f t="shared" si="43"/>
        <v>43271</v>
      </c>
      <c r="E120" s="20" t="s">
        <v>13</v>
      </c>
      <c r="F120" s="3">
        <v>9</v>
      </c>
      <c r="G120" s="198">
        <v>797</v>
      </c>
      <c r="H120" s="127">
        <f t="shared" si="28"/>
        <v>0.67</v>
      </c>
      <c r="I120" s="127">
        <f t="shared" si="40"/>
        <v>1.01</v>
      </c>
      <c r="J120" s="28">
        <f t="shared" si="42"/>
        <v>804.97</v>
      </c>
      <c r="K120" s="29">
        <f t="shared" si="36"/>
        <v>533.99</v>
      </c>
      <c r="L120" s="30">
        <f t="shared" si="44"/>
        <v>270.98</v>
      </c>
      <c r="M120" s="27">
        <f t="shared" si="29"/>
        <v>-13.268032885167885</v>
      </c>
      <c r="N120" s="19">
        <f t="shared" si="30"/>
        <v>257.71196711483213</v>
      </c>
      <c r="O120" s="27">
        <f t="shared" si="31"/>
        <v>0.69</v>
      </c>
      <c r="P120" s="27">
        <f t="shared" si="32"/>
        <v>549.93</v>
      </c>
      <c r="Q120" s="27">
        <f t="shared" si="33"/>
        <v>15.93999999999994</v>
      </c>
      <c r="R120" s="19">
        <f t="shared" si="34"/>
        <v>241.7719671148322</v>
      </c>
    </row>
    <row r="121" spans="1:18" ht="12.75">
      <c r="A121" s="3">
        <v>6</v>
      </c>
      <c r="B121" s="9">
        <f t="shared" si="41"/>
        <v>43252</v>
      </c>
      <c r="C121" s="126">
        <f t="shared" si="43"/>
        <v>43286</v>
      </c>
      <c r="D121" s="126">
        <f t="shared" si="43"/>
        <v>43301</v>
      </c>
      <c r="E121" s="20" t="s">
        <v>13</v>
      </c>
      <c r="F121" s="3">
        <v>9</v>
      </c>
      <c r="G121" s="198">
        <v>865</v>
      </c>
      <c r="H121" s="127">
        <f t="shared" si="28"/>
        <v>0.67</v>
      </c>
      <c r="I121" s="127">
        <f t="shared" si="40"/>
        <v>1.01</v>
      </c>
      <c r="J121" s="28">
        <f t="shared" si="42"/>
        <v>873.65</v>
      </c>
      <c r="K121" s="29">
        <f t="shared" si="36"/>
        <v>579.5500000000001</v>
      </c>
      <c r="L121" s="39">
        <f t="shared" si="44"/>
        <v>294.0999999999999</v>
      </c>
      <c r="M121" s="27">
        <f t="shared" si="29"/>
        <v>-14.400060785031647</v>
      </c>
      <c r="N121" s="19">
        <f t="shared" si="30"/>
        <v>279.69993921496825</v>
      </c>
      <c r="O121" s="27">
        <f t="shared" si="31"/>
        <v>0.69</v>
      </c>
      <c r="P121" s="27">
        <f t="shared" si="32"/>
        <v>596.8499999999999</v>
      </c>
      <c r="Q121" s="27">
        <f t="shared" si="33"/>
        <v>17.29999999999984</v>
      </c>
      <c r="R121" s="19">
        <f t="shared" si="34"/>
        <v>262.3999392149684</v>
      </c>
    </row>
    <row r="122" spans="1:18" ht="12.75">
      <c r="A122" s="10">
        <v>7</v>
      </c>
      <c r="B122" s="9">
        <f t="shared" si="41"/>
        <v>43282</v>
      </c>
      <c r="C122" s="126">
        <f t="shared" si="43"/>
        <v>43315</v>
      </c>
      <c r="D122" s="126">
        <f t="shared" si="43"/>
        <v>43330</v>
      </c>
      <c r="E122" s="20" t="s">
        <v>13</v>
      </c>
      <c r="F122" s="3">
        <v>9</v>
      </c>
      <c r="G122" s="198">
        <v>928</v>
      </c>
      <c r="H122" s="127">
        <f t="shared" si="28"/>
        <v>0.67</v>
      </c>
      <c r="I122" s="127">
        <f t="shared" si="40"/>
        <v>1.01</v>
      </c>
      <c r="J122" s="28">
        <f t="shared" si="42"/>
        <v>937.28</v>
      </c>
      <c r="K122" s="37">
        <f t="shared" si="36"/>
        <v>621.76</v>
      </c>
      <c r="L122" s="39">
        <f t="shared" si="44"/>
        <v>315.52</v>
      </c>
      <c r="M122" s="27">
        <f t="shared" si="29"/>
        <v>-15.448851339317189</v>
      </c>
      <c r="N122" s="19">
        <f t="shared" si="30"/>
        <v>300.0711486606828</v>
      </c>
      <c r="O122" s="27">
        <f t="shared" si="31"/>
        <v>0.69</v>
      </c>
      <c r="P122" s="27">
        <f t="shared" si="32"/>
        <v>640.3199999999999</v>
      </c>
      <c r="Q122" s="27">
        <f t="shared" si="33"/>
        <v>18.559999999999945</v>
      </c>
      <c r="R122" s="19">
        <f t="shared" si="34"/>
        <v>281.51114866068286</v>
      </c>
    </row>
    <row r="123" spans="1:18" ht="12.75">
      <c r="A123" s="3">
        <v>8</v>
      </c>
      <c r="B123" s="9">
        <f t="shared" si="41"/>
        <v>43313</v>
      </c>
      <c r="C123" s="126">
        <f t="shared" si="43"/>
        <v>43348</v>
      </c>
      <c r="D123" s="126">
        <f t="shared" si="43"/>
        <v>43363</v>
      </c>
      <c r="E123" s="20" t="s">
        <v>13</v>
      </c>
      <c r="F123" s="3">
        <v>9</v>
      </c>
      <c r="G123" s="198">
        <v>837</v>
      </c>
      <c r="H123" s="127">
        <f t="shared" si="28"/>
        <v>0.67</v>
      </c>
      <c r="I123" s="127">
        <f t="shared" si="40"/>
        <v>1.01</v>
      </c>
      <c r="J123" s="28">
        <f t="shared" si="42"/>
        <v>845.37</v>
      </c>
      <c r="K123" s="37">
        <f t="shared" si="36"/>
        <v>560.7900000000001</v>
      </c>
      <c r="L123" s="39">
        <f t="shared" si="44"/>
        <v>284.5799999999999</v>
      </c>
      <c r="M123" s="27">
        <f t="shared" si="29"/>
        <v>-13.933931649793626</v>
      </c>
      <c r="N123" s="19">
        <f t="shared" si="30"/>
        <v>270.6460683502063</v>
      </c>
      <c r="O123" s="27">
        <f t="shared" si="31"/>
        <v>0.69</v>
      </c>
      <c r="P123" s="27">
        <f t="shared" si="32"/>
        <v>577.53</v>
      </c>
      <c r="Q123" s="27">
        <f t="shared" si="33"/>
        <v>16.739999999999895</v>
      </c>
      <c r="R123" s="19">
        <f t="shared" si="34"/>
        <v>253.9060683502064</v>
      </c>
    </row>
    <row r="124" spans="1:18" ht="12.75">
      <c r="A124" s="3">
        <v>9</v>
      </c>
      <c r="B124" s="9">
        <f t="shared" si="41"/>
        <v>43344</v>
      </c>
      <c r="C124" s="126">
        <f t="shared" si="43"/>
        <v>43376</v>
      </c>
      <c r="D124" s="126">
        <f t="shared" si="43"/>
        <v>43391</v>
      </c>
      <c r="E124" s="20" t="s">
        <v>13</v>
      </c>
      <c r="F124" s="3">
        <v>9</v>
      </c>
      <c r="G124" s="198">
        <v>801</v>
      </c>
      <c r="H124" s="127">
        <f t="shared" si="28"/>
        <v>0.67</v>
      </c>
      <c r="I124" s="127">
        <f t="shared" si="40"/>
        <v>1.01</v>
      </c>
      <c r="J124" s="28">
        <f t="shared" si="42"/>
        <v>809.01</v>
      </c>
      <c r="K124" s="37">
        <f t="shared" si="36"/>
        <v>536.6700000000001</v>
      </c>
      <c r="L124" s="39">
        <f t="shared" si="44"/>
        <v>272.3399999999999</v>
      </c>
      <c r="M124" s="27">
        <f t="shared" si="29"/>
        <v>-13.334622761630461</v>
      </c>
      <c r="N124" s="19">
        <f t="shared" si="30"/>
        <v>259.0053772383695</v>
      </c>
      <c r="O124" s="27">
        <f t="shared" si="31"/>
        <v>0.69</v>
      </c>
      <c r="P124" s="27">
        <f t="shared" si="32"/>
        <v>552.6899999999999</v>
      </c>
      <c r="Q124" s="27">
        <f t="shared" si="33"/>
        <v>16.019999999999868</v>
      </c>
      <c r="R124" s="19">
        <f t="shared" si="34"/>
        <v>242.9853772383696</v>
      </c>
    </row>
    <row r="125" spans="1:18" ht="12.75">
      <c r="A125" s="10">
        <v>10</v>
      </c>
      <c r="B125" s="9">
        <f t="shared" si="41"/>
        <v>43374</v>
      </c>
      <c r="C125" s="126">
        <f t="shared" si="43"/>
        <v>43409</v>
      </c>
      <c r="D125" s="126">
        <f t="shared" si="43"/>
        <v>43424</v>
      </c>
      <c r="E125" s="20" t="s">
        <v>13</v>
      </c>
      <c r="F125" s="3">
        <v>9</v>
      </c>
      <c r="G125" s="198">
        <v>671</v>
      </c>
      <c r="H125" s="127">
        <f t="shared" si="28"/>
        <v>0.67</v>
      </c>
      <c r="I125" s="127">
        <f t="shared" si="40"/>
        <v>1.01</v>
      </c>
      <c r="J125" s="28">
        <f t="shared" si="42"/>
        <v>677.71</v>
      </c>
      <c r="K125" s="37">
        <f t="shared" si="36"/>
        <v>449.57000000000005</v>
      </c>
      <c r="L125" s="39">
        <f t="shared" si="44"/>
        <v>228.14</v>
      </c>
      <c r="M125" s="27">
        <f t="shared" si="29"/>
        <v>-11.170451776596803</v>
      </c>
      <c r="N125" s="19">
        <f t="shared" si="30"/>
        <v>216.9695482234032</v>
      </c>
      <c r="O125" s="27">
        <f t="shared" si="31"/>
        <v>0.69</v>
      </c>
      <c r="P125" s="27">
        <f t="shared" si="32"/>
        <v>462.98999999999995</v>
      </c>
      <c r="Q125" s="27">
        <f t="shared" si="33"/>
        <v>13.419999999999902</v>
      </c>
      <c r="R125" s="19">
        <f t="shared" si="34"/>
        <v>203.5495482234033</v>
      </c>
    </row>
    <row r="126" spans="1:18" ht="12.75">
      <c r="A126" s="3">
        <v>11</v>
      </c>
      <c r="B126" s="9">
        <f t="shared" si="41"/>
        <v>43405</v>
      </c>
      <c r="C126" s="126">
        <f t="shared" si="43"/>
        <v>43439</v>
      </c>
      <c r="D126" s="126">
        <f t="shared" si="43"/>
        <v>43454</v>
      </c>
      <c r="E126" s="20" t="s">
        <v>13</v>
      </c>
      <c r="F126" s="3">
        <v>9</v>
      </c>
      <c r="G126" s="198">
        <v>897</v>
      </c>
      <c r="H126" s="127">
        <f t="shared" si="28"/>
        <v>0.67</v>
      </c>
      <c r="I126" s="127">
        <f t="shared" si="40"/>
        <v>1.01</v>
      </c>
      <c r="J126" s="28">
        <f t="shared" si="42"/>
        <v>905.97</v>
      </c>
      <c r="K126" s="37">
        <f t="shared" si="36"/>
        <v>600.99</v>
      </c>
      <c r="L126" s="39">
        <f t="shared" si="44"/>
        <v>304.98</v>
      </c>
      <c r="M126" s="27">
        <f t="shared" si="29"/>
        <v>-14.93277979673224</v>
      </c>
      <c r="N126" s="19">
        <f t="shared" si="30"/>
        <v>290.0472202032678</v>
      </c>
      <c r="O126" s="27">
        <f t="shared" si="31"/>
        <v>0.69</v>
      </c>
      <c r="P126" s="27">
        <f t="shared" si="32"/>
        <v>618.93</v>
      </c>
      <c r="Q126" s="27">
        <f t="shared" si="33"/>
        <v>17.93999999999994</v>
      </c>
      <c r="R126" s="19">
        <f t="shared" si="34"/>
        <v>272.10722020326784</v>
      </c>
    </row>
    <row r="127" spans="1:18" s="34" customFormat="1" ht="12.75">
      <c r="A127" s="3">
        <v>12</v>
      </c>
      <c r="B127" s="44">
        <f t="shared" si="41"/>
        <v>43435</v>
      </c>
      <c r="C127" s="137">
        <f t="shared" si="43"/>
        <v>43468</v>
      </c>
      <c r="D127" s="137">
        <f t="shared" si="43"/>
        <v>43483</v>
      </c>
      <c r="E127" s="45" t="s">
        <v>13</v>
      </c>
      <c r="F127" s="42">
        <v>9</v>
      </c>
      <c r="G127" s="199">
        <v>879</v>
      </c>
      <c r="H127" s="127">
        <f t="shared" si="28"/>
        <v>0.67</v>
      </c>
      <c r="I127" s="128">
        <f t="shared" si="40"/>
        <v>1.01</v>
      </c>
      <c r="J127" s="46">
        <f t="shared" si="42"/>
        <v>887.79</v>
      </c>
      <c r="K127" s="47">
        <f t="shared" si="36"/>
        <v>588.9300000000001</v>
      </c>
      <c r="L127" s="48">
        <f t="shared" si="44"/>
        <v>298.8599999999999</v>
      </c>
      <c r="M127" s="27">
        <f t="shared" si="29"/>
        <v>-14.633125352650655</v>
      </c>
      <c r="N127" s="19">
        <f t="shared" si="30"/>
        <v>284.22687464734923</v>
      </c>
      <c r="O127" s="27">
        <f t="shared" si="31"/>
        <v>0.69</v>
      </c>
      <c r="P127" s="27">
        <f t="shared" si="32"/>
        <v>606.51</v>
      </c>
      <c r="Q127" s="27">
        <f t="shared" si="33"/>
        <v>17.579999999999927</v>
      </c>
      <c r="R127" s="19">
        <f t="shared" si="34"/>
        <v>266.6468746473493</v>
      </c>
    </row>
    <row r="128" spans="1:18" ht="12.75">
      <c r="A128" s="10">
        <v>1</v>
      </c>
      <c r="B128" s="9">
        <f t="shared" si="41"/>
        <v>43101</v>
      </c>
      <c r="C128" s="126">
        <f t="shared" si="43"/>
        <v>43136</v>
      </c>
      <c r="D128" s="126">
        <f t="shared" si="43"/>
        <v>43151</v>
      </c>
      <c r="E128" s="60" t="s">
        <v>15</v>
      </c>
      <c r="F128" s="10">
        <v>9</v>
      </c>
      <c r="G128" s="198">
        <v>9</v>
      </c>
      <c r="H128" s="127">
        <f t="shared" si="28"/>
        <v>0.67</v>
      </c>
      <c r="I128" s="127">
        <f aca="true" t="shared" si="45" ref="I128:I147">$J$3</f>
        <v>1.01</v>
      </c>
      <c r="J128" s="28">
        <f t="shared" si="42"/>
        <v>9.09</v>
      </c>
      <c r="K128" s="29">
        <f t="shared" si="36"/>
        <v>6.03</v>
      </c>
      <c r="L128" s="30">
        <f>+J128-K128</f>
        <v>3.0599999999999996</v>
      </c>
      <c r="M128" s="27">
        <f t="shared" si="29"/>
        <v>-0.14982722204079169</v>
      </c>
      <c r="N128" s="19">
        <f t="shared" si="30"/>
        <v>2.910172777959208</v>
      </c>
      <c r="O128" s="27">
        <f t="shared" si="31"/>
        <v>0.69</v>
      </c>
      <c r="P128" s="27">
        <f t="shared" si="32"/>
        <v>6.209999999999999</v>
      </c>
      <c r="Q128" s="27">
        <f t="shared" si="33"/>
        <v>0.17999999999999883</v>
      </c>
      <c r="R128" s="19">
        <f t="shared" si="34"/>
        <v>2.730172777959209</v>
      </c>
    </row>
    <row r="129" spans="1:18" ht="12.75">
      <c r="A129" s="3">
        <v>2</v>
      </c>
      <c r="B129" s="9">
        <f t="shared" si="41"/>
        <v>43132</v>
      </c>
      <c r="C129" s="126">
        <f t="shared" si="43"/>
        <v>43164</v>
      </c>
      <c r="D129" s="126">
        <f t="shared" si="43"/>
        <v>43179</v>
      </c>
      <c r="E129" s="35" t="s">
        <v>15</v>
      </c>
      <c r="F129" s="3">
        <v>9</v>
      </c>
      <c r="G129" s="198">
        <v>7</v>
      </c>
      <c r="H129" s="127">
        <f t="shared" si="28"/>
        <v>0.67</v>
      </c>
      <c r="I129" s="127">
        <f t="shared" si="45"/>
        <v>1.01</v>
      </c>
      <c r="J129" s="28">
        <f t="shared" si="42"/>
        <v>7.07</v>
      </c>
      <c r="K129" s="29">
        <f t="shared" si="36"/>
        <v>4.69</v>
      </c>
      <c r="L129" s="30">
        <f>+J129-K129</f>
        <v>2.38</v>
      </c>
      <c r="M129" s="27">
        <f t="shared" si="29"/>
        <v>-0.11653228380950466</v>
      </c>
      <c r="N129" s="19">
        <f t="shared" si="30"/>
        <v>2.2634677161904952</v>
      </c>
      <c r="O129" s="27">
        <f t="shared" si="31"/>
        <v>0.69</v>
      </c>
      <c r="P129" s="27">
        <f t="shared" si="32"/>
        <v>4.83</v>
      </c>
      <c r="Q129" s="27">
        <f t="shared" si="33"/>
        <v>0.13999999999999968</v>
      </c>
      <c r="R129" s="19">
        <f t="shared" si="34"/>
        <v>2.1234677161904956</v>
      </c>
    </row>
    <row r="130" spans="1:18" ht="12.75">
      <c r="A130" s="3">
        <v>3</v>
      </c>
      <c r="B130" s="9">
        <f t="shared" si="41"/>
        <v>43160</v>
      </c>
      <c r="C130" s="126">
        <f t="shared" si="43"/>
        <v>43194</v>
      </c>
      <c r="D130" s="126">
        <f t="shared" si="43"/>
        <v>43209</v>
      </c>
      <c r="E130" s="35" t="s">
        <v>15</v>
      </c>
      <c r="F130" s="3">
        <v>9</v>
      </c>
      <c r="G130" s="198">
        <v>6</v>
      </c>
      <c r="H130" s="127">
        <f t="shared" si="28"/>
        <v>0.67</v>
      </c>
      <c r="I130" s="127">
        <f t="shared" si="45"/>
        <v>1.01</v>
      </c>
      <c r="J130" s="28">
        <f t="shared" si="42"/>
        <v>6.0600000000000005</v>
      </c>
      <c r="K130" s="29">
        <f t="shared" si="36"/>
        <v>4.0200000000000005</v>
      </c>
      <c r="L130" s="30">
        <f>+J130-K130</f>
        <v>2.04</v>
      </c>
      <c r="M130" s="27">
        <f t="shared" si="29"/>
        <v>-0.09988481469386112</v>
      </c>
      <c r="N130" s="19">
        <f t="shared" si="30"/>
        <v>1.940115185306139</v>
      </c>
      <c r="O130" s="27">
        <f t="shared" si="31"/>
        <v>0.69</v>
      </c>
      <c r="P130" s="27">
        <f t="shared" si="32"/>
        <v>4.14</v>
      </c>
      <c r="Q130" s="27">
        <f t="shared" si="33"/>
        <v>0.11999999999999922</v>
      </c>
      <c r="R130" s="19">
        <f t="shared" si="34"/>
        <v>1.8201151853061397</v>
      </c>
    </row>
    <row r="131" spans="1:18" ht="12.75">
      <c r="A131" s="10">
        <v>4</v>
      </c>
      <c r="B131" s="9">
        <f t="shared" si="41"/>
        <v>43191</v>
      </c>
      <c r="C131" s="126">
        <f t="shared" si="43"/>
        <v>43223</v>
      </c>
      <c r="D131" s="126">
        <f t="shared" si="43"/>
        <v>43238</v>
      </c>
      <c r="E131" s="35" t="s">
        <v>15</v>
      </c>
      <c r="F131" s="3">
        <v>9</v>
      </c>
      <c r="G131" s="198">
        <v>8</v>
      </c>
      <c r="H131" s="127">
        <f t="shared" si="28"/>
        <v>0.67</v>
      </c>
      <c r="I131" s="127">
        <f t="shared" si="45"/>
        <v>1.01</v>
      </c>
      <c r="J131" s="28">
        <f t="shared" si="42"/>
        <v>8.08</v>
      </c>
      <c r="K131" s="29">
        <f t="shared" si="36"/>
        <v>5.36</v>
      </c>
      <c r="L131" s="30">
        <f aca="true" t="shared" si="46" ref="L131:L141">+J131-K131</f>
        <v>2.7199999999999998</v>
      </c>
      <c r="M131" s="27">
        <f t="shared" si="29"/>
        <v>-0.13317975292514816</v>
      </c>
      <c r="N131" s="19">
        <f t="shared" si="30"/>
        <v>2.5868202470748516</v>
      </c>
      <c r="O131" s="27">
        <f t="shared" si="31"/>
        <v>0.69</v>
      </c>
      <c r="P131" s="27">
        <f t="shared" si="32"/>
        <v>5.52</v>
      </c>
      <c r="Q131" s="27">
        <f t="shared" si="33"/>
        <v>0.15999999999999925</v>
      </c>
      <c r="R131" s="19">
        <f t="shared" si="34"/>
        <v>2.4268202470748523</v>
      </c>
    </row>
    <row r="132" spans="1:18" ht="12.75">
      <c r="A132" s="3">
        <v>5</v>
      </c>
      <c r="B132" s="9">
        <f t="shared" si="41"/>
        <v>43221</v>
      </c>
      <c r="C132" s="126">
        <f t="shared" si="43"/>
        <v>43256</v>
      </c>
      <c r="D132" s="126">
        <f t="shared" si="43"/>
        <v>43271</v>
      </c>
      <c r="E132" s="20" t="s">
        <v>15</v>
      </c>
      <c r="F132" s="3">
        <v>9</v>
      </c>
      <c r="G132" s="198">
        <v>11</v>
      </c>
      <c r="H132" s="127">
        <f t="shared" si="28"/>
        <v>0.67</v>
      </c>
      <c r="I132" s="127">
        <f t="shared" si="45"/>
        <v>1.01</v>
      </c>
      <c r="J132" s="28">
        <f t="shared" si="42"/>
        <v>11.11</v>
      </c>
      <c r="K132" s="29">
        <f t="shared" si="36"/>
        <v>7.37</v>
      </c>
      <c r="L132" s="30">
        <f t="shared" si="46"/>
        <v>3.7399999999999993</v>
      </c>
      <c r="M132" s="27">
        <f t="shared" si="29"/>
        <v>-0.18312216027207873</v>
      </c>
      <c r="N132" s="19">
        <f t="shared" si="30"/>
        <v>3.5568778397279206</v>
      </c>
      <c r="O132" s="27">
        <f t="shared" si="31"/>
        <v>0.69</v>
      </c>
      <c r="P132" s="27">
        <f t="shared" si="32"/>
        <v>7.59</v>
      </c>
      <c r="Q132" s="27">
        <f t="shared" si="33"/>
        <v>0.21999999999999975</v>
      </c>
      <c r="R132" s="19">
        <f t="shared" si="34"/>
        <v>3.336877839727921</v>
      </c>
    </row>
    <row r="133" spans="1:18" ht="12.75">
      <c r="A133" s="3">
        <v>6</v>
      </c>
      <c r="B133" s="9">
        <f t="shared" si="41"/>
        <v>43252</v>
      </c>
      <c r="C133" s="126">
        <f t="shared" si="43"/>
        <v>43286</v>
      </c>
      <c r="D133" s="126">
        <f t="shared" si="43"/>
        <v>43301</v>
      </c>
      <c r="E133" s="20" t="s">
        <v>15</v>
      </c>
      <c r="F133" s="3">
        <v>9</v>
      </c>
      <c r="G133" s="198">
        <v>14</v>
      </c>
      <c r="H133" s="127">
        <f t="shared" si="28"/>
        <v>0.67</v>
      </c>
      <c r="I133" s="127">
        <f t="shared" si="45"/>
        <v>1.01</v>
      </c>
      <c r="J133" s="28">
        <f t="shared" si="42"/>
        <v>14.14</v>
      </c>
      <c r="K133" s="29">
        <f t="shared" si="36"/>
        <v>9.38</v>
      </c>
      <c r="L133" s="39">
        <f t="shared" si="46"/>
        <v>4.76</v>
      </c>
      <c r="M133" s="27">
        <f t="shared" si="29"/>
        <v>-0.23306456761900932</v>
      </c>
      <c r="N133" s="19">
        <f t="shared" si="30"/>
        <v>4.5269354323809905</v>
      </c>
      <c r="O133" s="27">
        <f t="shared" si="31"/>
        <v>0.69</v>
      </c>
      <c r="P133" s="27">
        <f t="shared" si="32"/>
        <v>9.66</v>
      </c>
      <c r="Q133" s="27">
        <f t="shared" si="33"/>
        <v>0.27999999999999936</v>
      </c>
      <c r="R133" s="19">
        <f t="shared" si="34"/>
        <v>4.246935432380991</v>
      </c>
    </row>
    <row r="134" spans="1:18" ht="12.75">
      <c r="A134" s="10">
        <v>7</v>
      </c>
      <c r="B134" s="9">
        <f t="shared" si="41"/>
        <v>43282</v>
      </c>
      <c r="C134" s="126">
        <f t="shared" si="43"/>
        <v>43315</v>
      </c>
      <c r="D134" s="126">
        <f t="shared" si="43"/>
        <v>43330</v>
      </c>
      <c r="E134" s="20" t="s">
        <v>15</v>
      </c>
      <c r="F134" s="3">
        <v>9</v>
      </c>
      <c r="G134" s="198">
        <v>18</v>
      </c>
      <c r="H134" s="127">
        <f t="shared" si="28"/>
        <v>0.67</v>
      </c>
      <c r="I134" s="127">
        <f t="shared" si="45"/>
        <v>1.01</v>
      </c>
      <c r="J134" s="28">
        <f t="shared" si="42"/>
        <v>18.18</v>
      </c>
      <c r="K134" s="37">
        <f aca="true" t="shared" si="47" ref="K134:K197">+$G134*H134</f>
        <v>12.06</v>
      </c>
      <c r="L134" s="39">
        <f t="shared" si="46"/>
        <v>6.119999999999999</v>
      </c>
      <c r="M134" s="27">
        <f t="shared" si="29"/>
        <v>-0.29965444408158337</v>
      </c>
      <c r="N134" s="19">
        <f t="shared" si="30"/>
        <v>5.820345555918416</v>
      </c>
      <c r="O134" s="27">
        <f t="shared" si="31"/>
        <v>0.69</v>
      </c>
      <c r="P134" s="27">
        <f t="shared" si="32"/>
        <v>12.419999999999998</v>
      </c>
      <c r="Q134" s="27">
        <f t="shared" si="33"/>
        <v>0.35999999999999766</v>
      </c>
      <c r="R134" s="19">
        <f t="shared" si="34"/>
        <v>5.460345555918418</v>
      </c>
    </row>
    <row r="135" spans="1:18" ht="12.75">
      <c r="A135" s="3">
        <v>8</v>
      </c>
      <c r="B135" s="9">
        <f t="shared" si="41"/>
        <v>43313</v>
      </c>
      <c r="C135" s="126">
        <f t="shared" si="43"/>
        <v>43348</v>
      </c>
      <c r="D135" s="126">
        <f t="shared" si="43"/>
        <v>43363</v>
      </c>
      <c r="E135" s="20" t="s">
        <v>15</v>
      </c>
      <c r="F135" s="3">
        <v>9</v>
      </c>
      <c r="G135" s="198">
        <v>15</v>
      </c>
      <c r="H135" s="127">
        <f t="shared" si="28"/>
        <v>0.67</v>
      </c>
      <c r="I135" s="127">
        <f t="shared" si="45"/>
        <v>1.01</v>
      </c>
      <c r="J135" s="28">
        <f t="shared" si="42"/>
        <v>15.15</v>
      </c>
      <c r="K135" s="37">
        <f t="shared" si="47"/>
        <v>10.05</v>
      </c>
      <c r="L135" s="39">
        <f t="shared" si="46"/>
        <v>5.1</v>
      </c>
      <c r="M135" s="27">
        <f t="shared" si="29"/>
        <v>-0.24971203673465284</v>
      </c>
      <c r="N135" s="19">
        <f t="shared" si="30"/>
        <v>4.850287963265346</v>
      </c>
      <c r="O135" s="27">
        <f t="shared" si="31"/>
        <v>0.69</v>
      </c>
      <c r="P135" s="27">
        <f t="shared" si="32"/>
        <v>10.35</v>
      </c>
      <c r="Q135" s="27">
        <f t="shared" si="33"/>
        <v>0.29999999999999893</v>
      </c>
      <c r="R135" s="19">
        <f t="shared" si="34"/>
        <v>4.5502879632653475</v>
      </c>
    </row>
    <row r="136" spans="1:18" ht="12.75">
      <c r="A136" s="3">
        <v>9</v>
      </c>
      <c r="B136" s="9">
        <f t="shared" si="41"/>
        <v>43344</v>
      </c>
      <c r="C136" s="126">
        <f t="shared" si="43"/>
        <v>43376</v>
      </c>
      <c r="D136" s="126">
        <f t="shared" si="43"/>
        <v>43391</v>
      </c>
      <c r="E136" s="20" t="s">
        <v>15</v>
      </c>
      <c r="F136" s="3">
        <v>9</v>
      </c>
      <c r="G136" s="198">
        <v>7</v>
      </c>
      <c r="H136" s="127">
        <f t="shared" si="28"/>
        <v>0.67</v>
      </c>
      <c r="I136" s="127">
        <f t="shared" si="45"/>
        <v>1.01</v>
      </c>
      <c r="J136" s="28">
        <f t="shared" si="42"/>
        <v>7.07</v>
      </c>
      <c r="K136" s="37">
        <f t="shared" si="47"/>
        <v>4.69</v>
      </c>
      <c r="L136" s="39">
        <f t="shared" si="46"/>
        <v>2.38</v>
      </c>
      <c r="M136" s="27">
        <f t="shared" si="29"/>
        <v>-0.11653228380950466</v>
      </c>
      <c r="N136" s="19">
        <f t="shared" si="30"/>
        <v>2.2634677161904952</v>
      </c>
      <c r="O136" s="27">
        <f t="shared" si="31"/>
        <v>0.69</v>
      </c>
      <c r="P136" s="27">
        <f t="shared" si="32"/>
        <v>4.83</v>
      </c>
      <c r="Q136" s="27">
        <f t="shared" si="33"/>
        <v>0.13999999999999968</v>
      </c>
      <c r="R136" s="19">
        <f t="shared" si="34"/>
        <v>2.1234677161904956</v>
      </c>
    </row>
    <row r="137" spans="1:18" ht="12.75">
      <c r="A137" s="10">
        <v>10</v>
      </c>
      <c r="B137" s="9">
        <f t="shared" si="41"/>
        <v>43374</v>
      </c>
      <c r="C137" s="126">
        <f t="shared" si="43"/>
        <v>43409</v>
      </c>
      <c r="D137" s="126">
        <f t="shared" si="43"/>
        <v>43424</v>
      </c>
      <c r="E137" s="20" t="s">
        <v>15</v>
      </c>
      <c r="F137" s="3">
        <v>9</v>
      </c>
      <c r="G137" s="198">
        <v>7</v>
      </c>
      <c r="H137" s="127">
        <f t="shared" si="28"/>
        <v>0.67</v>
      </c>
      <c r="I137" s="127">
        <f t="shared" si="45"/>
        <v>1.01</v>
      </c>
      <c r="J137" s="28">
        <f t="shared" si="42"/>
        <v>7.07</v>
      </c>
      <c r="K137" s="37">
        <f t="shared" si="47"/>
        <v>4.69</v>
      </c>
      <c r="L137" s="39">
        <f t="shared" si="46"/>
        <v>2.38</v>
      </c>
      <c r="M137" s="27">
        <f t="shared" si="29"/>
        <v>-0.11653228380950466</v>
      </c>
      <c r="N137" s="19">
        <f t="shared" si="30"/>
        <v>2.2634677161904952</v>
      </c>
      <c r="O137" s="27">
        <f t="shared" si="31"/>
        <v>0.69</v>
      </c>
      <c r="P137" s="27">
        <f t="shared" si="32"/>
        <v>4.83</v>
      </c>
      <c r="Q137" s="27">
        <f t="shared" si="33"/>
        <v>0.13999999999999968</v>
      </c>
      <c r="R137" s="19">
        <f t="shared" si="34"/>
        <v>2.1234677161904956</v>
      </c>
    </row>
    <row r="138" spans="1:18" ht="12.75">
      <c r="A138" s="3">
        <v>11</v>
      </c>
      <c r="B138" s="9">
        <f t="shared" si="41"/>
        <v>43405</v>
      </c>
      <c r="C138" s="126">
        <f t="shared" si="43"/>
        <v>43439</v>
      </c>
      <c r="D138" s="126">
        <f t="shared" si="43"/>
        <v>43454</v>
      </c>
      <c r="E138" s="20" t="s">
        <v>15</v>
      </c>
      <c r="F138" s="3">
        <v>9</v>
      </c>
      <c r="G138" s="198">
        <v>7</v>
      </c>
      <c r="H138" s="127">
        <f t="shared" si="28"/>
        <v>0.67</v>
      </c>
      <c r="I138" s="127">
        <f t="shared" si="45"/>
        <v>1.01</v>
      </c>
      <c r="J138" s="28">
        <f t="shared" si="42"/>
        <v>7.07</v>
      </c>
      <c r="K138" s="37">
        <f t="shared" si="47"/>
        <v>4.69</v>
      </c>
      <c r="L138" s="39">
        <f t="shared" si="46"/>
        <v>2.38</v>
      </c>
      <c r="M138" s="27">
        <f t="shared" si="29"/>
        <v>-0.11653228380950466</v>
      </c>
      <c r="N138" s="19">
        <f t="shared" si="30"/>
        <v>2.2634677161904952</v>
      </c>
      <c r="O138" s="27">
        <f t="shared" si="31"/>
        <v>0.69</v>
      </c>
      <c r="P138" s="27">
        <f t="shared" si="32"/>
        <v>4.83</v>
      </c>
      <c r="Q138" s="27">
        <f t="shared" si="33"/>
        <v>0.13999999999999968</v>
      </c>
      <c r="R138" s="19">
        <f t="shared" si="34"/>
        <v>2.1234677161904956</v>
      </c>
    </row>
    <row r="139" spans="1:18" s="34" customFormat="1" ht="12.75">
      <c r="A139" s="3">
        <v>12</v>
      </c>
      <c r="B139" s="44">
        <f t="shared" si="41"/>
        <v>43435</v>
      </c>
      <c r="C139" s="126">
        <f t="shared" si="43"/>
        <v>43468</v>
      </c>
      <c r="D139" s="126">
        <f t="shared" si="43"/>
        <v>43483</v>
      </c>
      <c r="E139" s="45" t="s">
        <v>15</v>
      </c>
      <c r="F139" s="42">
        <v>9</v>
      </c>
      <c r="G139" s="199">
        <v>7</v>
      </c>
      <c r="H139" s="127">
        <f t="shared" si="28"/>
        <v>0.67</v>
      </c>
      <c r="I139" s="128">
        <f t="shared" si="45"/>
        <v>1.01</v>
      </c>
      <c r="J139" s="46">
        <f t="shared" si="42"/>
        <v>7.07</v>
      </c>
      <c r="K139" s="47">
        <f t="shared" si="47"/>
        <v>4.69</v>
      </c>
      <c r="L139" s="48">
        <f t="shared" si="46"/>
        <v>2.38</v>
      </c>
      <c r="M139" s="27">
        <f t="shared" si="29"/>
        <v>-0.11653228380950466</v>
      </c>
      <c r="N139" s="19">
        <f t="shared" si="30"/>
        <v>2.2634677161904952</v>
      </c>
      <c r="O139" s="27">
        <f t="shared" si="31"/>
        <v>0.69</v>
      </c>
      <c r="P139" s="27">
        <f t="shared" si="32"/>
        <v>4.83</v>
      </c>
      <c r="Q139" s="27">
        <f t="shared" si="33"/>
        <v>0.13999999999999968</v>
      </c>
      <c r="R139" s="19">
        <f t="shared" si="34"/>
        <v>2.1234677161904956</v>
      </c>
    </row>
    <row r="140" spans="1:18" ht="12.75">
      <c r="A140" s="10">
        <v>1</v>
      </c>
      <c r="B140" s="9">
        <f t="shared" si="41"/>
        <v>43101</v>
      </c>
      <c r="C140" s="125">
        <f aca="true" t="shared" si="48" ref="C140:D151">+C128</f>
        <v>43136</v>
      </c>
      <c r="D140" s="125">
        <f t="shared" si="48"/>
        <v>43151</v>
      </c>
      <c r="E140" s="59" t="s">
        <v>16</v>
      </c>
      <c r="F140" s="3">
        <v>9</v>
      </c>
      <c r="G140" s="198">
        <v>2</v>
      </c>
      <c r="H140" s="127">
        <f t="shared" si="28"/>
        <v>0.67</v>
      </c>
      <c r="I140" s="127">
        <f t="shared" si="45"/>
        <v>1.01</v>
      </c>
      <c r="J140" s="28">
        <f t="shared" si="42"/>
        <v>2.02</v>
      </c>
      <c r="K140" s="29">
        <f t="shared" si="47"/>
        <v>1.34</v>
      </c>
      <c r="L140" s="30">
        <f t="shared" si="46"/>
        <v>0.6799999999999999</v>
      </c>
      <c r="M140" s="27">
        <f t="shared" si="29"/>
        <v>-0.03329493823128704</v>
      </c>
      <c r="N140" s="19">
        <f t="shared" si="30"/>
        <v>0.6467050617687129</v>
      </c>
      <c r="O140" s="27">
        <f t="shared" si="31"/>
        <v>0.69</v>
      </c>
      <c r="P140" s="27">
        <f t="shared" si="32"/>
        <v>1.38</v>
      </c>
      <c r="Q140" s="27">
        <f t="shared" si="33"/>
        <v>0.039999999999999813</v>
      </c>
      <c r="R140" s="19">
        <f t="shared" si="34"/>
        <v>0.6067050617687131</v>
      </c>
    </row>
    <row r="141" spans="1:18" ht="12.75">
      <c r="A141" s="3">
        <v>2</v>
      </c>
      <c r="B141" s="9">
        <f t="shared" si="41"/>
        <v>43132</v>
      </c>
      <c r="C141" s="126">
        <f t="shared" si="48"/>
        <v>43164</v>
      </c>
      <c r="D141" s="126">
        <f t="shared" si="48"/>
        <v>43179</v>
      </c>
      <c r="E141" s="20" t="s">
        <v>16</v>
      </c>
      <c r="F141" s="3">
        <v>9</v>
      </c>
      <c r="G141" s="198">
        <v>2</v>
      </c>
      <c r="H141" s="127">
        <f t="shared" si="28"/>
        <v>0.67</v>
      </c>
      <c r="I141" s="127">
        <f t="shared" si="45"/>
        <v>1.01</v>
      </c>
      <c r="J141" s="28">
        <f t="shared" si="42"/>
        <v>2.02</v>
      </c>
      <c r="K141" s="29">
        <f t="shared" si="47"/>
        <v>1.34</v>
      </c>
      <c r="L141" s="30">
        <f t="shared" si="46"/>
        <v>0.6799999999999999</v>
      </c>
      <c r="M141" s="27">
        <f t="shared" si="29"/>
        <v>-0.03329493823128704</v>
      </c>
      <c r="N141" s="19">
        <f t="shared" si="30"/>
        <v>0.6467050617687129</v>
      </c>
      <c r="O141" s="27">
        <f t="shared" si="31"/>
        <v>0.69</v>
      </c>
      <c r="P141" s="27">
        <f t="shared" si="32"/>
        <v>1.38</v>
      </c>
      <c r="Q141" s="27">
        <f t="shared" si="33"/>
        <v>0.039999999999999813</v>
      </c>
      <c r="R141" s="19">
        <f t="shared" si="34"/>
        <v>0.6067050617687131</v>
      </c>
    </row>
    <row r="142" spans="1:18" ht="12.75">
      <c r="A142" s="3">
        <v>3</v>
      </c>
      <c r="B142" s="9">
        <f t="shared" si="41"/>
        <v>43160</v>
      </c>
      <c r="C142" s="126">
        <f t="shared" si="48"/>
        <v>43194</v>
      </c>
      <c r="D142" s="126">
        <f t="shared" si="48"/>
        <v>43209</v>
      </c>
      <c r="E142" s="20" t="s">
        <v>16</v>
      </c>
      <c r="F142" s="3">
        <v>9</v>
      </c>
      <c r="G142" s="198">
        <v>1</v>
      </c>
      <c r="H142" s="127">
        <f t="shared" si="28"/>
        <v>0.67</v>
      </c>
      <c r="I142" s="127">
        <f t="shared" si="45"/>
        <v>1.01</v>
      </c>
      <c r="J142" s="28">
        <f t="shared" si="42"/>
        <v>1.01</v>
      </c>
      <c r="K142" s="29">
        <f t="shared" si="47"/>
        <v>0.67</v>
      </c>
      <c r="L142" s="30">
        <f>+J142-K142</f>
        <v>0.33999999999999997</v>
      </c>
      <c r="M142" s="27">
        <f t="shared" si="29"/>
        <v>-0.01664746911564352</v>
      </c>
      <c r="N142" s="19">
        <f t="shared" si="30"/>
        <v>0.32335253088435645</v>
      </c>
      <c r="O142" s="27">
        <f t="shared" si="31"/>
        <v>0.69</v>
      </c>
      <c r="P142" s="27">
        <f t="shared" si="32"/>
        <v>0.69</v>
      </c>
      <c r="Q142" s="27">
        <f t="shared" si="33"/>
        <v>0.019999999999999907</v>
      </c>
      <c r="R142" s="19">
        <f t="shared" si="34"/>
        <v>0.30335253088435654</v>
      </c>
    </row>
    <row r="143" spans="1:18" ht="12.75">
      <c r="A143" s="10">
        <v>4</v>
      </c>
      <c r="B143" s="9">
        <f t="shared" si="41"/>
        <v>43191</v>
      </c>
      <c r="C143" s="126">
        <f t="shared" si="48"/>
        <v>43223</v>
      </c>
      <c r="D143" s="126">
        <f t="shared" si="48"/>
        <v>43238</v>
      </c>
      <c r="E143" s="20" t="s">
        <v>16</v>
      </c>
      <c r="F143" s="3">
        <v>9</v>
      </c>
      <c r="G143" s="198">
        <v>1</v>
      </c>
      <c r="H143" s="127">
        <f t="shared" si="28"/>
        <v>0.67</v>
      </c>
      <c r="I143" s="127">
        <f t="shared" si="45"/>
        <v>1.01</v>
      </c>
      <c r="J143" s="28">
        <f t="shared" si="42"/>
        <v>1.01</v>
      </c>
      <c r="K143" s="29">
        <f t="shared" si="47"/>
        <v>0.67</v>
      </c>
      <c r="L143" s="30">
        <f aca="true" t="shared" si="49" ref="L143:L153">+J143-K143</f>
        <v>0.33999999999999997</v>
      </c>
      <c r="M143" s="27">
        <f t="shared" si="29"/>
        <v>-0.01664746911564352</v>
      </c>
      <c r="N143" s="19">
        <f t="shared" si="30"/>
        <v>0.32335253088435645</v>
      </c>
      <c r="O143" s="27">
        <f t="shared" si="31"/>
        <v>0.69</v>
      </c>
      <c r="P143" s="27">
        <f t="shared" si="32"/>
        <v>0.69</v>
      </c>
      <c r="Q143" s="27">
        <f t="shared" si="33"/>
        <v>0.019999999999999907</v>
      </c>
      <c r="R143" s="19">
        <f t="shared" si="34"/>
        <v>0.30335253088435654</v>
      </c>
    </row>
    <row r="144" spans="1:18" ht="12.75">
      <c r="A144" s="3">
        <v>5</v>
      </c>
      <c r="B144" s="9">
        <f t="shared" si="41"/>
        <v>43221</v>
      </c>
      <c r="C144" s="126">
        <f t="shared" si="48"/>
        <v>43256</v>
      </c>
      <c r="D144" s="126">
        <f t="shared" si="48"/>
        <v>43271</v>
      </c>
      <c r="E144" s="20" t="s">
        <v>16</v>
      </c>
      <c r="F144" s="3">
        <v>9</v>
      </c>
      <c r="G144" s="198">
        <v>4</v>
      </c>
      <c r="H144" s="127">
        <f t="shared" si="28"/>
        <v>0.67</v>
      </c>
      <c r="I144" s="127">
        <f t="shared" si="45"/>
        <v>1.01</v>
      </c>
      <c r="J144" s="28">
        <f t="shared" si="42"/>
        <v>4.04</v>
      </c>
      <c r="K144" s="29">
        <f t="shared" si="47"/>
        <v>2.68</v>
      </c>
      <c r="L144" s="30">
        <f t="shared" si="49"/>
        <v>1.3599999999999999</v>
      </c>
      <c r="M144" s="27">
        <f t="shared" si="29"/>
        <v>-0.06658987646257408</v>
      </c>
      <c r="N144" s="19">
        <f t="shared" si="30"/>
        <v>1.2934101235374258</v>
      </c>
      <c r="O144" s="27">
        <f t="shared" si="31"/>
        <v>0.69</v>
      </c>
      <c r="P144" s="27">
        <f t="shared" si="32"/>
        <v>2.76</v>
      </c>
      <c r="Q144" s="27">
        <f t="shared" si="33"/>
        <v>0.07999999999999963</v>
      </c>
      <c r="R144" s="19">
        <f t="shared" si="34"/>
        <v>1.2134101235374262</v>
      </c>
    </row>
    <row r="145" spans="1:18" ht="12.75">
      <c r="A145" s="3">
        <v>6</v>
      </c>
      <c r="B145" s="9">
        <f t="shared" si="41"/>
        <v>43252</v>
      </c>
      <c r="C145" s="126">
        <f t="shared" si="48"/>
        <v>43286</v>
      </c>
      <c r="D145" s="126">
        <f t="shared" si="48"/>
        <v>43301</v>
      </c>
      <c r="E145" s="20" t="s">
        <v>16</v>
      </c>
      <c r="F145" s="3">
        <v>9</v>
      </c>
      <c r="G145" s="198">
        <v>3</v>
      </c>
      <c r="H145" s="127">
        <f t="shared" si="28"/>
        <v>0.67</v>
      </c>
      <c r="I145" s="127">
        <f t="shared" si="45"/>
        <v>1.01</v>
      </c>
      <c r="J145" s="28">
        <f t="shared" si="42"/>
        <v>3.0300000000000002</v>
      </c>
      <c r="K145" s="29">
        <f t="shared" si="47"/>
        <v>2.0100000000000002</v>
      </c>
      <c r="L145" s="39">
        <f t="shared" si="49"/>
        <v>1.02</v>
      </c>
      <c r="M145" s="27">
        <f t="shared" si="29"/>
        <v>-0.04994240734693056</v>
      </c>
      <c r="N145" s="19">
        <f t="shared" si="30"/>
        <v>0.9700575926530695</v>
      </c>
      <c r="O145" s="27">
        <f t="shared" si="31"/>
        <v>0.69</v>
      </c>
      <c r="P145" s="27">
        <f t="shared" si="32"/>
        <v>2.07</v>
      </c>
      <c r="Q145" s="27">
        <f t="shared" si="33"/>
        <v>0.05999999999999961</v>
      </c>
      <c r="R145" s="19">
        <f t="shared" si="34"/>
        <v>0.9100575926530698</v>
      </c>
    </row>
    <row r="146" spans="1:18" ht="12.75">
      <c r="A146" s="10">
        <v>7</v>
      </c>
      <c r="B146" s="9">
        <f t="shared" si="41"/>
        <v>43282</v>
      </c>
      <c r="C146" s="126">
        <f t="shared" si="48"/>
        <v>43315</v>
      </c>
      <c r="D146" s="126">
        <f t="shared" si="48"/>
        <v>43330</v>
      </c>
      <c r="E146" s="20" t="s">
        <v>16</v>
      </c>
      <c r="F146" s="3">
        <v>9</v>
      </c>
      <c r="G146" s="198">
        <v>4</v>
      </c>
      <c r="H146" s="127">
        <f t="shared" si="28"/>
        <v>0.67</v>
      </c>
      <c r="I146" s="127">
        <f t="shared" si="45"/>
        <v>1.01</v>
      </c>
      <c r="J146" s="28">
        <f t="shared" si="42"/>
        <v>4.04</v>
      </c>
      <c r="K146" s="37">
        <f t="shared" si="47"/>
        <v>2.68</v>
      </c>
      <c r="L146" s="39">
        <f t="shared" si="49"/>
        <v>1.3599999999999999</v>
      </c>
      <c r="M146" s="27">
        <f t="shared" si="29"/>
        <v>-0.06658987646257408</v>
      </c>
      <c r="N146" s="19">
        <f t="shared" si="30"/>
        <v>1.2934101235374258</v>
      </c>
      <c r="O146" s="27">
        <f t="shared" si="31"/>
        <v>0.69</v>
      </c>
      <c r="P146" s="27">
        <f t="shared" si="32"/>
        <v>2.76</v>
      </c>
      <c r="Q146" s="27">
        <f t="shared" si="33"/>
        <v>0.07999999999999963</v>
      </c>
      <c r="R146" s="19">
        <f t="shared" si="34"/>
        <v>1.2134101235374262</v>
      </c>
    </row>
    <row r="147" spans="1:18" ht="12.75">
      <c r="A147" s="3">
        <v>8</v>
      </c>
      <c r="B147" s="9">
        <f t="shared" si="41"/>
        <v>43313</v>
      </c>
      <c r="C147" s="126">
        <f t="shared" si="48"/>
        <v>43348</v>
      </c>
      <c r="D147" s="126">
        <f t="shared" si="48"/>
        <v>43363</v>
      </c>
      <c r="E147" s="20" t="s">
        <v>16</v>
      </c>
      <c r="F147" s="3">
        <v>9</v>
      </c>
      <c r="G147" s="198">
        <v>6</v>
      </c>
      <c r="H147" s="127">
        <f t="shared" si="28"/>
        <v>0.67</v>
      </c>
      <c r="I147" s="127">
        <f t="shared" si="45"/>
        <v>1.01</v>
      </c>
      <c r="J147" s="28">
        <f t="shared" si="42"/>
        <v>6.0600000000000005</v>
      </c>
      <c r="K147" s="37">
        <f t="shared" si="47"/>
        <v>4.0200000000000005</v>
      </c>
      <c r="L147" s="39">
        <f t="shared" si="49"/>
        <v>2.04</v>
      </c>
      <c r="M147" s="27">
        <f t="shared" si="29"/>
        <v>-0.09988481469386112</v>
      </c>
      <c r="N147" s="19">
        <f t="shared" si="30"/>
        <v>1.940115185306139</v>
      </c>
      <c r="O147" s="27">
        <f t="shared" si="31"/>
        <v>0.69</v>
      </c>
      <c r="P147" s="27">
        <f t="shared" si="32"/>
        <v>4.14</v>
      </c>
      <c r="Q147" s="27">
        <f t="shared" si="33"/>
        <v>0.11999999999999922</v>
      </c>
      <c r="R147" s="19">
        <f t="shared" si="34"/>
        <v>1.8201151853061397</v>
      </c>
    </row>
    <row r="148" spans="1:18" ht="12.75">
      <c r="A148" s="3">
        <v>9</v>
      </c>
      <c r="B148" s="9">
        <f t="shared" si="41"/>
        <v>43344</v>
      </c>
      <c r="C148" s="126">
        <f t="shared" si="48"/>
        <v>43376</v>
      </c>
      <c r="D148" s="126">
        <f t="shared" si="48"/>
        <v>43391</v>
      </c>
      <c r="E148" s="20" t="s">
        <v>16</v>
      </c>
      <c r="F148" s="3">
        <v>9</v>
      </c>
      <c r="G148" s="198">
        <v>2</v>
      </c>
      <c r="H148" s="127">
        <f aca="true" t="shared" si="50" ref="H148:H211">$K$3</f>
        <v>0.67</v>
      </c>
      <c r="I148" s="127">
        <f aca="true" t="shared" si="51" ref="I148:I179">$J$3</f>
        <v>1.01</v>
      </c>
      <c r="J148" s="28">
        <f t="shared" si="42"/>
        <v>2.02</v>
      </c>
      <c r="K148" s="37">
        <f t="shared" si="47"/>
        <v>1.34</v>
      </c>
      <c r="L148" s="39">
        <f t="shared" si="49"/>
        <v>0.6799999999999999</v>
      </c>
      <c r="M148" s="27">
        <f t="shared" si="29"/>
        <v>-0.03329493823128704</v>
      </c>
      <c r="N148" s="19">
        <f t="shared" si="30"/>
        <v>0.6467050617687129</v>
      </c>
      <c r="O148" s="27">
        <f t="shared" si="31"/>
        <v>0.69</v>
      </c>
      <c r="P148" s="27">
        <f t="shared" si="32"/>
        <v>1.38</v>
      </c>
      <c r="Q148" s="27">
        <f t="shared" si="33"/>
        <v>0.039999999999999813</v>
      </c>
      <c r="R148" s="19">
        <f t="shared" si="34"/>
        <v>0.6067050617687131</v>
      </c>
    </row>
    <row r="149" spans="1:18" ht="12.75">
      <c r="A149" s="10">
        <v>10</v>
      </c>
      <c r="B149" s="9">
        <f aca="true" t="shared" si="52" ref="B149:B211">DATE($R$1,A149,1)</f>
        <v>43374</v>
      </c>
      <c r="C149" s="126">
        <f t="shared" si="48"/>
        <v>43409</v>
      </c>
      <c r="D149" s="126">
        <f t="shared" si="48"/>
        <v>43424</v>
      </c>
      <c r="E149" s="20" t="s">
        <v>16</v>
      </c>
      <c r="F149" s="3">
        <v>9</v>
      </c>
      <c r="G149" s="198">
        <v>2</v>
      </c>
      <c r="H149" s="127">
        <f t="shared" si="50"/>
        <v>0.67</v>
      </c>
      <c r="I149" s="127">
        <f t="shared" si="51"/>
        <v>1.01</v>
      </c>
      <c r="J149" s="28">
        <f aca="true" t="shared" si="53" ref="J149:J211">+$G149*I149</f>
        <v>2.02</v>
      </c>
      <c r="K149" s="37">
        <f t="shared" si="47"/>
        <v>1.34</v>
      </c>
      <c r="L149" s="39">
        <f t="shared" si="49"/>
        <v>0.6799999999999999</v>
      </c>
      <c r="M149" s="27">
        <f aca="true" t="shared" si="54" ref="M149:M211">G149/$G$212*$M$14</f>
        <v>-0.03329493823128704</v>
      </c>
      <c r="N149" s="19">
        <f aca="true" t="shared" si="55" ref="N149:N211">SUM(L149:M149)</f>
        <v>0.6467050617687129</v>
      </c>
      <c r="O149" s="27">
        <f aca="true" t="shared" si="56" ref="O149:O211">+$P$3</f>
        <v>0.69</v>
      </c>
      <c r="P149" s="27">
        <f aca="true" t="shared" si="57" ref="P149:P211">+G149*O149</f>
        <v>1.38</v>
      </c>
      <c r="Q149" s="27">
        <f aca="true" t="shared" si="58" ref="Q149:Q211">+P149-K149</f>
        <v>0.039999999999999813</v>
      </c>
      <c r="R149" s="19">
        <f aca="true" t="shared" si="59" ref="R149:R211">+N149-Q149</f>
        <v>0.6067050617687131</v>
      </c>
    </row>
    <row r="150" spans="1:18" ht="12.75">
      <c r="A150" s="3">
        <v>11</v>
      </c>
      <c r="B150" s="9">
        <f t="shared" si="52"/>
        <v>43405</v>
      </c>
      <c r="C150" s="126">
        <f t="shared" si="48"/>
        <v>43439</v>
      </c>
      <c r="D150" s="126">
        <f t="shared" si="48"/>
        <v>43454</v>
      </c>
      <c r="E150" s="20" t="s">
        <v>16</v>
      </c>
      <c r="F150" s="3">
        <v>9</v>
      </c>
      <c r="G150" s="198">
        <v>3</v>
      </c>
      <c r="H150" s="127">
        <f t="shared" si="50"/>
        <v>0.67</v>
      </c>
      <c r="I150" s="127">
        <f t="shared" si="51"/>
        <v>1.01</v>
      </c>
      <c r="J150" s="28">
        <f t="shared" si="53"/>
        <v>3.0300000000000002</v>
      </c>
      <c r="K150" s="37">
        <f t="shared" si="47"/>
        <v>2.0100000000000002</v>
      </c>
      <c r="L150" s="39">
        <f t="shared" si="49"/>
        <v>1.02</v>
      </c>
      <c r="M150" s="27">
        <f t="shared" si="54"/>
        <v>-0.04994240734693056</v>
      </c>
      <c r="N150" s="19">
        <f t="shared" si="55"/>
        <v>0.9700575926530695</v>
      </c>
      <c r="O150" s="27">
        <f t="shared" si="56"/>
        <v>0.69</v>
      </c>
      <c r="P150" s="27">
        <f t="shared" si="57"/>
        <v>2.07</v>
      </c>
      <c r="Q150" s="27">
        <f t="shared" si="58"/>
        <v>0.05999999999999961</v>
      </c>
      <c r="R150" s="19">
        <f t="shared" si="59"/>
        <v>0.9100575926530698</v>
      </c>
    </row>
    <row r="151" spans="1:18" s="34" customFormat="1" ht="12.75">
      <c r="A151" s="3">
        <v>12</v>
      </c>
      <c r="B151" s="44">
        <f t="shared" si="52"/>
        <v>43435</v>
      </c>
      <c r="C151" s="126">
        <f t="shared" si="48"/>
        <v>43468</v>
      </c>
      <c r="D151" s="126">
        <f t="shared" si="48"/>
        <v>43483</v>
      </c>
      <c r="E151" s="45" t="s">
        <v>16</v>
      </c>
      <c r="F151" s="42">
        <v>9</v>
      </c>
      <c r="G151" s="199">
        <v>2</v>
      </c>
      <c r="H151" s="127">
        <f t="shared" si="50"/>
        <v>0.67</v>
      </c>
      <c r="I151" s="128">
        <f t="shared" si="51"/>
        <v>1.01</v>
      </c>
      <c r="J151" s="46">
        <f t="shared" si="53"/>
        <v>2.02</v>
      </c>
      <c r="K151" s="47">
        <f t="shared" si="47"/>
        <v>1.34</v>
      </c>
      <c r="L151" s="48">
        <f t="shared" si="49"/>
        <v>0.6799999999999999</v>
      </c>
      <c r="M151" s="27">
        <f t="shared" si="54"/>
        <v>-0.03329493823128704</v>
      </c>
      <c r="N151" s="19">
        <f t="shared" si="55"/>
        <v>0.6467050617687129</v>
      </c>
      <c r="O151" s="27">
        <f t="shared" si="56"/>
        <v>0.69</v>
      </c>
      <c r="P151" s="27">
        <f t="shared" si="57"/>
        <v>1.38</v>
      </c>
      <c r="Q151" s="27">
        <f t="shared" si="58"/>
        <v>0.039999999999999813</v>
      </c>
      <c r="R151" s="19">
        <f t="shared" si="59"/>
        <v>0.6067050617687131</v>
      </c>
    </row>
    <row r="152" spans="1:18" ht="12.75">
      <c r="A152" s="10">
        <v>1</v>
      </c>
      <c r="B152" s="9">
        <f t="shared" si="52"/>
        <v>43101</v>
      </c>
      <c r="C152" s="125">
        <f aca="true" t="shared" si="60" ref="C152:D171">+C140</f>
        <v>43136</v>
      </c>
      <c r="D152" s="125">
        <f t="shared" si="60"/>
        <v>43151</v>
      </c>
      <c r="E152" s="59" t="s">
        <v>56</v>
      </c>
      <c r="F152" s="10">
        <v>9</v>
      </c>
      <c r="G152" s="198">
        <v>126</v>
      </c>
      <c r="H152" s="127">
        <f t="shared" si="50"/>
        <v>0.67</v>
      </c>
      <c r="I152" s="127">
        <f t="shared" si="51"/>
        <v>1.01</v>
      </c>
      <c r="J152" s="28">
        <f t="shared" si="53"/>
        <v>127.26</v>
      </c>
      <c r="K152" s="29">
        <f t="shared" si="47"/>
        <v>84.42</v>
      </c>
      <c r="L152" s="30">
        <f t="shared" si="49"/>
        <v>42.84</v>
      </c>
      <c r="M152" s="27">
        <f t="shared" si="54"/>
        <v>-2.0975811085710836</v>
      </c>
      <c r="N152" s="19">
        <f t="shared" si="55"/>
        <v>40.74241889142892</v>
      </c>
      <c r="O152" s="27">
        <f t="shared" si="56"/>
        <v>0.69</v>
      </c>
      <c r="P152" s="27">
        <f t="shared" si="57"/>
        <v>86.94</v>
      </c>
      <c r="Q152" s="27">
        <f t="shared" si="58"/>
        <v>2.519999999999996</v>
      </c>
      <c r="R152" s="19">
        <f t="shared" si="59"/>
        <v>38.22241889142892</v>
      </c>
    </row>
    <row r="153" spans="1:18" ht="12.75">
      <c r="A153" s="3">
        <v>2</v>
      </c>
      <c r="B153" s="9">
        <f t="shared" si="52"/>
        <v>43132</v>
      </c>
      <c r="C153" s="126">
        <f t="shared" si="60"/>
        <v>43164</v>
      </c>
      <c r="D153" s="126">
        <f t="shared" si="60"/>
        <v>43179</v>
      </c>
      <c r="E153" s="70" t="s">
        <v>56</v>
      </c>
      <c r="F153" s="3">
        <v>9</v>
      </c>
      <c r="G153" s="198">
        <v>103</v>
      </c>
      <c r="H153" s="127">
        <f t="shared" si="50"/>
        <v>0.67</v>
      </c>
      <c r="I153" s="127">
        <f t="shared" si="51"/>
        <v>1.01</v>
      </c>
      <c r="J153" s="28">
        <f t="shared" si="53"/>
        <v>104.03</v>
      </c>
      <c r="K153" s="29">
        <f t="shared" si="47"/>
        <v>69.01</v>
      </c>
      <c r="L153" s="30">
        <f t="shared" si="49"/>
        <v>35.019999999999996</v>
      </c>
      <c r="M153" s="27">
        <f t="shared" si="54"/>
        <v>-1.7146893189112826</v>
      </c>
      <c r="N153" s="19">
        <f t="shared" si="55"/>
        <v>33.30531068108871</v>
      </c>
      <c r="O153" s="27">
        <f t="shared" si="56"/>
        <v>0.69</v>
      </c>
      <c r="P153" s="27">
        <f t="shared" si="57"/>
        <v>71.07</v>
      </c>
      <c r="Q153" s="27">
        <f t="shared" si="58"/>
        <v>2.059999999999988</v>
      </c>
      <c r="R153" s="19">
        <f t="shared" si="59"/>
        <v>31.245310681088725</v>
      </c>
    </row>
    <row r="154" spans="1:18" ht="12.75">
      <c r="A154" s="3">
        <v>3</v>
      </c>
      <c r="B154" s="9">
        <f t="shared" si="52"/>
        <v>43160</v>
      </c>
      <c r="C154" s="126">
        <f t="shared" si="60"/>
        <v>43194</v>
      </c>
      <c r="D154" s="126">
        <f t="shared" si="60"/>
        <v>43209</v>
      </c>
      <c r="E154" s="70" t="s">
        <v>56</v>
      </c>
      <c r="F154" s="3">
        <v>9</v>
      </c>
      <c r="G154" s="198">
        <v>92</v>
      </c>
      <c r="H154" s="127">
        <f t="shared" si="50"/>
        <v>0.67</v>
      </c>
      <c r="I154" s="127">
        <f t="shared" si="51"/>
        <v>1.01</v>
      </c>
      <c r="J154" s="28">
        <f t="shared" si="53"/>
        <v>92.92</v>
      </c>
      <c r="K154" s="29">
        <f t="shared" si="47"/>
        <v>61.64</v>
      </c>
      <c r="L154" s="30">
        <f>+J154-K154</f>
        <v>31.28</v>
      </c>
      <c r="M154" s="27">
        <f t="shared" si="54"/>
        <v>-1.531567158639204</v>
      </c>
      <c r="N154" s="19">
        <f t="shared" si="55"/>
        <v>29.748432841360795</v>
      </c>
      <c r="O154" s="27">
        <f t="shared" si="56"/>
        <v>0.69</v>
      </c>
      <c r="P154" s="27">
        <f t="shared" si="57"/>
        <v>63.48</v>
      </c>
      <c r="Q154" s="27">
        <f t="shared" si="58"/>
        <v>1.8399999999999963</v>
      </c>
      <c r="R154" s="19">
        <f t="shared" si="59"/>
        <v>27.9084328413608</v>
      </c>
    </row>
    <row r="155" spans="1:18" ht="12.75">
      <c r="A155" s="10">
        <v>4</v>
      </c>
      <c r="B155" s="9">
        <f t="shared" si="52"/>
        <v>43191</v>
      </c>
      <c r="C155" s="126">
        <f t="shared" si="60"/>
        <v>43223</v>
      </c>
      <c r="D155" s="126">
        <f t="shared" si="60"/>
        <v>43238</v>
      </c>
      <c r="E155" s="70" t="s">
        <v>56</v>
      </c>
      <c r="F155" s="3">
        <v>9</v>
      </c>
      <c r="G155" s="198">
        <v>86</v>
      </c>
      <c r="H155" s="127">
        <f t="shared" si="50"/>
        <v>0.67</v>
      </c>
      <c r="I155" s="127">
        <f t="shared" si="51"/>
        <v>1.01</v>
      </c>
      <c r="J155" s="28">
        <f t="shared" si="53"/>
        <v>86.86</v>
      </c>
      <c r="K155" s="29">
        <f t="shared" si="47"/>
        <v>57.620000000000005</v>
      </c>
      <c r="L155" s="30">
        <f aca="true" t="shared" si="61" ref="L155:L165">+J155-K155</f>
        <v>29.239999999999995</v>
      </c>
      <c r="M155" s="27">
        <f t="shared" si="54"/>
        <v>-1.4316823439453428</v>
      </c>
      <c r="N155" s="19">
        <f t="shared" si="55"/>
        <v>27.80831765605465</v>
      </c>
      <c r="O155" s="27">
        <f t="shared" si="56"/>
        <v>0.69</v>
      </c>
      <c r="P155" s="27">
        <f t="shared" si="57"/>
        <v>59.339999999999996</v>
      </c>
      <c r="Q155" s="27">
        <f t="shared" si="58"/>
        <v>1.7199999999999918</v>
      </c>
      <c r="R155" s="19">
        <f t="shared" si="59"/>
        <v>26.08831765605466</v>
      </c>
    </row>
    <row r="156" spans="1:18" ht="12.75">
      <c r="A156" s="3">
        <v>5</v>
      </c>
      <c r="B156" s="9">
        <f t="shared" si="52"/>
        <v>43221</v>
      </c>
      <c r="C156" s="126">
        <f t="shared" si="60"/>
        <v>43256</v>
      </c>
      <c r="D156" s="126">
        <f t="shared" si="60"/>
        <v>43271</v>
      </c>
      <c r="E156" s="70" t="s">
        <v>56</v>
      </c>
      <c r="F156" s="3">
        <v>9</v>
      </c>
      <c r="G156" s="198">
        <v>139</v>
      </c>
      <c r="H156" s="127">
        <f t="shared" si="50"/>
        <v>0.67</v>
      </c>
      <c r="I156" s="127">
        <f t="shared" si="51"/>
        <v>1.01</v>
      </c>
      <c r="J156" s="28">
        <f t="shared" si="53"/>
        <v>140.39000000000001</v>
      </c>
      <c r="K156" s="29">
        <f t="shared" si="47"/>
        <v>93.13000000000001</v>
      </c>
      <c r="L156" s="30">
        <f t="shared" si="61"/>
        <v>47.260000000000005</v>
      </c>
      <c r="M156" s="27">
        <f t="shared" si="54"/>
        <v>-2.3139982070744494</v>
      </c>
      <c r="N156" s="19">
        <f t="shared" si="55"/>
        <v>44.94600179292556</v>
      </c>
      <c r="O156" s="27">
        <f t="shared" si="56"/>
        <v>0.69</v>
      </c>
      <c r="P156" s="27">
        <f t="shared" si="57"/>
        <v>95.91</v>
      </c>
      <c r="Q156" s="27">
        <f t="shared" si="58"/>
        <v>2.779999999999987</v>
      </c>
      <c r="R156" s="19">
        <f t="shared" si="59"/>
        <v>42.16600179292557</v>
      </c>
    </row>
    <row r="157" spans="1:18" ht="12.75">
      <c r="A157" s="3">
        <v>6</v>
      </c>
      <c r="B157" s="9">
        <f t="shared" si="52"/>
        <v>43252</v>
      </c>
      <c r="C157" s="126">
        <f t="shared" si="60"/>
        <v>43286</v>
      </c>
      <c r="D157" s="126">
        <f t="shared" si="60"/>
        <v>43301</v>
      </c>
      <c r="E157" s="70" t="s">
        <v>56</v>
      </c>
      <c r="F157" s="3">
        <v>9</v>
      </c>
      <c r="G157" s="198">
        <v>158</v>
      </c>
      <c r="H157" s="127">
        <f t="shared" si="50"/>
        <v>0.67</v>
      </c>
      <c r="I157" s="127">
        <f t="shared" si="51"/>
        <v>1.01</v>
      </c>
      <c r="J157" s="28">
        <f t="shared" si="53"/>
        <v>159.58</v>
      </c>
      <c r="K157" s="29">
        <f t="shared" si="47"/>
        <v>105.86</v>
      </c>
      <c r="L157" s="39">
        <f t="shared" si="61"/>
        <v>53.72000000000001</v>
      </c>
      <c r="M157" s="27">
        <f t="shared" si="54"/>
        <v>-2.6303001202716763</v>
      </c>
      <c r="N157" s="19">
        <f t="shared" si="55"/>
        <v>51.089699879728336</v>
      </c>
      <c r="O157" s="27">
        <f t="shared" si="56"/>
        <v>0.69</v>
      </c>
      <c r="P157" s="27">
        <f t="shared" si="57"/>
        <v>109.02</v>
      </c>
      <c r="Q157" s="27">
        <f t="shared" si="58"/>
        <v>3.1599999999999966</v>
      </c>
      <c r="R157" s="19">
        <f t="shared" si="59"/>
        <v>47.92969987972834</v>
      </c>
    </row>
    <row r="158" spans="1:18" ht="12.75">
      <c r="A158" s="10">
        <v>7</v>
      </c>
      <c r="B158" s="9">
        <f t="shared" si="52"/>
        <v>43282</v>
      </c>
      <c r="C158" s="126">
        <f t="shared" si="60"/>
        <v>43315</v>
      </c>
      <c r="D158" s="126">
        <f t="shared" si="60"/>
        <v>43330</v>
      </c>
      <c r="E158" s="70" t="s">
        <v>56</v>
      </c>
      <c r="F158" s="3">
        <v>9</v>
      </c>
      <c r="G158" s="198">
        <v>162</v>
      </c>
      <c r="H158" s="127">
        <f t="shared" si="50"/>
        <v>0.67</v>
      </c>
      <c r="I158" s="127">
        <f t="shared" si="51"/>
        <v>1.01</v>
      </c>
      <c r="J158" s="28">
        <f t="shared" si="53"/>
        <v>163.62</v>
      </c>
      <c r="K158" s="37">
        <f t="shared" si="47"/>
        <v>108.54</v>
      </c>
      <c r="L158" s="39">
        <f t="shared" si="61"/>
        <v>55.08</v>
      </c>
      <c r="M158" s="27">
        <f t="shared" si="54"/>
        <v>-2.6968899967342503</v>
      </c>
      <c r="N158" s="19">
        <f t="shared" si="55"/>
        <v>52.38311000326575</v>
      </c>
      <c r="O158" s="27">
        <f t="shared" si="56"/>
        <v>0.69</v>
      </c>
      <c r="P158" s="27">
        <f t="shared" si="57"/>
        <v>111.77999999999999</v>
      </c>
      <c r="Q158" s="27">
        <f t="shared" si="58"/>
        <v>3.2399999999999807</v>
      </c>
      <c r="R158" s="19">
        <f t="shared" si="59"/>
        <v>49.14311000326577</v>
      </c>
    </row>
    <row r="159" spans="1:19" ht="12.75">
      <c r="A159" s="3">
        <v>8</v>
      </c>
      <c r="B159" s="9">
        <f t="shared" si="52"/>
        <v>43313</v>
      </c>
      <c r="C159" s="126">
        <f t="shared" si="60"/>
        <v>43348</v>
      </c>
      <c r="D159" s="126">
        <f t="shared" si="60"/>
        <v>43363</v>
      </c>
      <c r="E159" s="70" t="s">
        <v>56</v>
      </c>
      <c r="F159" s="10">
        <v>9</v>
      </c>
      <c r="G159" s="198">
        <v>144</v>
      </c>
      <c r="H159" s="127">
        <f t="shared" si="50"/>
        <v>0.67</v>
      </c>
      <c r="I159" s="127">
        <f t="shared" si="51"/>
        <v>1.01</v>
      </c>
      <c r="J159" s="28">
        <f t="shared" si="53"/>
        <v>145.44</v>
      </c>
      <c r="K159" s="37">
        <f t="shared" si="47"/>
        <v>96.48</v>
      </c>
      <c r="L159" s="39">
        <f t="shared" si="61"/>
        <v>48.959999999999994</v>
      </c>
      <c r="M159" s="27">
        <f t="shared" si="54"/>
        <v>-2.397235552652667</v>
      </c>
      <c r="N159" s="19">
        <f t="shared" si="55"/>
        <v>46.56276444734733</v>
      </c>
      <c r="O159" s="27">
        <f t="shared" si="56"/>
        <v>0.69</v>
      </c>
      <c r="P159" s="27">
        <f t="shared" si="57"/>
        <v>99.35999999999999</v>
      </c>
      <c r="Q159" s="27">
        <f t="shared" si="58"/>
        <v>2.8799999999999812</v>
      </c>
      <c r="R159" s="19">
        <f t="shared" si="59"/>
        <v>43.682764447347346</v>
      </c>
      <c r="S159" s="8"/>
    </row>
    <row r="160" spans="1:18" ht="12.75">
      <c r="A160" s="3">
        <v>9</v>
      </c>
      <c r="B160" s="9">
        <f t="shared" si="52"/>
        <v>43344</v>
      </c>
      <c r="C160" s="126">
        <f t="shared" si="60"/>
        <v>43376</v>
      </c>
      <c r="D160" s="126">
        <f t="shared" si="60"/>
        <v>43391</v>
      </c>
      <c r="E160" s="70" t="s">
        <v>56</v>
      </c>
      <c r="F160" s="10">
        <v>9</v>
      </c>
      <c r="G160" s="198">
        <v>150</v>
      </c>
      <c r="H160" s="127">
        <f t="shared" si="50"/>
        <v>0.67</v>
      </c>
      <c r="I160" s="127">
        <f t="shared" si="51"/>
        <v>1.01</v>
      </c>
      <c r="J160" s="28">
        <f t="shared" si="53"/>
        <v>151.5</v>
      </c>
      <c r="K160" s="37">
        <f t="shared" si="47"/>
        <v>100.5</v>
      </c>
      <c r="L160" s="39">
        <f t="shared" si="61"/>
        <v>51</v>
      </c>
      <c r="M160" s="27">
        <f t="shared" si="54"/>
        <v>-2.497120367346528</v>
      </c>
      <c r="N160" s="19">
        <f t="shared" si="55"/>
        <v>48.502879632653475</v>
      </c>
      <c r="O160" s="27">
        <f t="shared" si="56"/>
        <v>0.69</v>
      </c>
      <c r="P160" s="27">
        <f t="shared" si="57"/>
        <v>103.49999999999999</v>
      </c>
      <c r="Q160" s="27">
        <f t="shared" si="58"/>
        <v>2.999999999999986</v>
      </c>
      <c r="R160" s="19">
        <f t="shared" si="59"/>
        <v>45.50287963265349</v>
      </c>
    </row>
    <row r="161" spans="1:18" ht="12.75">
      <c r="A161" s="10">
        <v>10</v>
      </c>
      <c r="B161" s="9">
        <f t="shared" si="52"/>
        <v>43374</v>
      </c>
      <c r="C161" s="126">
        <f t="shared" si="60"/>
        <v>43409</v>
      </c>
      <c r="D161" s="126">
        <f t="shared" si="60"/>
        <v>43424</v>
      </c>
      <c r="E161" s="70" t="s">
        <v>56</v>
      </c>
      <c r="F161" s="10">
        <v>9</v>
      </c>
      <c r="G161" s="198">
        <v>123</v>
      </c>
      <c r="H161" s="127">
        <f t="shared" si="50"/>
        <v>0.67</v>
      </c>
      <c r="I161" s="127">
        <f t="shared" si="51"/>
        <v>1.01</v>
      </c>
      <c r="J161" s="28">
        <f t="shared" si="53"/>
        <v>124.23</v>
      </c>
      <c r="K161" s="37">
        <f t="shared" si="47"/>
        <v>82.41000000000001</v>
      </c>
      <c r="L161" s="39">
        <f t="shared" si="61"/>
        <v>41.81999999999999</v>
      </c>
      <c r="M161" s="27">
        <f t="shared" si="54"/>
        <v>-2.047638701224153</v>
      </c>
      <c r="N161" s="19">
        <f t="shared" si="55"/>
        <v>39.77236129877584</v>
      </c>
      <c r="O161" s="27">
        <f t="shared" si="56"/>
        <v>0.69</v>
      </c>
      <c r="P161" s="27">
        <f t="shared" si="57"/>
        <v>84.86999999999999</v>
      </c>
      <c r="Q161" s="27">
        <f t="shared" si="58"/>
        <v>2.4599999999999795</v>
      </c>
      <c r="R161" s="19">
        <f t="shared" si="59"/>
        <v>37.31236129877586</v>
      </c>
    </row>
    <row r="162" spans="1:18" ht="12.75">
      <c r="A162" s="3">
        <v>11</v>
      </c>
      <c r="B162" s="9">
        <f t="shared" si="52"/>
        <v>43405</v>
      </c>
      <c r="C162" s="126">
        <f t="shared" si="60"/>
        <v>43439</v>
      </c>
      <c r="D162" s="126">
        <f t="shared" si="60"/>
        <v>43454</v>
      </c>
      <c r="E162" s="70" t="s">
        <v>56</v>
      </c>
      <c r="F162" s="10">
        <v>9</v>
      </c>
      <c r="G162" s="198">
        <v>102</v>
      </c>
      <c r="H162" s="127">
        <f t="shared" si="50"/>
        <v>0.67</v>
      </c>
      <c r="I162" s="127">
        <f t="shared" si="51"/>
        <v>1.01</v>
      </c>
      <c r="J162" s="28">
        <f t="shared" si="53"/>
        <v>103.02</v>
      </c>
      <c r="K162" s="37">
        <f t="shared" si="47"/>
        <v>68.34</v>
      </c>
      <c r="L162" s="39">
        <f t="shared" si="61"/>
        <v>34.67999999999999</v>
      </c>
      <c r="M162" s="27">
        <f t="shared" si="54"/>
        <v>-1.6980418497956393</v>
      </c>
      <c r="N162" s="19">
        <f t="shared" si="55"/>
        <v>32.981958150204356</v>
      </c>
      <c r="O162" s="27">
        <f t="shared" si="56"/>
        <v>0.69</v>
      </c>
      <c r="P162" s="27">
        <f t="shared" si="57"/>
        <v>70.38</v>
      </c>
      <c r="Q162" s="27">
        <f t="shared" si="58"/>
        <v>2.039999999999992</v>
      </c>
      <c r="R162" s="19">
        <f t="shared" si="59"/>
        <v>30.941958150204364</v>
      </c>
    </row>
    <row r="163" spans="1:18" s="34" customFormat="1" ht="12.75">
      <c r="A163" s="3">
        <v>12</v>
      </c>
      <c r="B163" s="44">
        <f t="shared" si="52"/>
        <v>43435</v>
      </c>
      <c r="C163" s="126">
        <f t="shared" si="60"/>
        <v>43468</v>
      </c>
      <c r="D163" s="126">
        <f t="shared" si="60"/>
        <v>43483</v>
      </c>
      <c r="E163" s="71" t="s">
        <v>56</v>
      </c>
      <c r="F163" s="42">
        <v>9</v>
      </c>
      <c r="G163" s="199">
        <v>103</v>
      </c>
      <c r="H163" s="127">
        <f t="shared" si="50"/>
        <v>0.67</v>
      </c>
      <c r="I163" s="128">
        <f t="shared" si="51"/>
        <v>1.01</v>
      </c>
      <c r="J163" s="46">
        <f t="shared" si="53"/>
        <v>104.03</v>
      </c>
      <c r="K163" s="47">
        <f t="shared" si="47"/>
        <v>69.01</v>
      </c>
      <c r="L163" s="48">
        <f t="shared" si="61"/>
        <v>35.019999999999996</v>
      </c>
      <c r="M163" s="27">
        <f t="shared" si="54"/>
        <v>-1.7146893189112826</v>
      </c>
      <c r="N163" s="19">
        <f t="shared" si="55"/>
        <v>33.30531068108871</v>
      </c>
      <c r="O163" s="27">
        <f t="shared" si="56"/>
        <v>0.69</v>
      </c>
      <c r="P163" s="27">
        <f t="shared" si="57"/>
        <v>71.07</v>
      </c>
      <c r="Q163" s="27">
        <f t="shared" si="58"/>
        <v>2.059999999999988</v>
      </c>
      <c r="R163" s="19">
        <f t="shared" si="59"/>
        <v>31.245310681088725</v>
      </c>
    </row>
    <row r="164" spans="1:18" ht="12.75">
      <c r="A164" s="10">
        <v>1</v>
      </c>
      <c r="B164" s="9">
        <f t="shared" si="52"/>
        <v>43101</v>
      </c>
      <c r="C164" s="125">
        <f t="shared" si="60"/>
        <v>43136</v>
      </c>
      <c r="D164" s="125">
        <f t="shared" si="60"/>
        <v>43151</v>
      </c>
      <c r="E164" s="59" t="s">
        <v>57</v>
      </c>
      <c r="F164" s="10">
        <v>9</v>
      </c>
      <c r="G164" s="198">
        <v>9</v>
      </c>
      <c r="H164" s="127">
        <f t="shared" si="50"/>
        <v>0.67</v>
      </c>
      <c r="I164" s="127">
        <f t="shared" si="51"/>
        <v>1.01</v>
      </c>
      <c r="J164" s="28">
        <f t="shared" si="53"/>
        <v>9.09</v>
      </c>
      <c r="K164" s="29">
        <f t="shared" si="47"/>
        <v>6.03</v>
      </c>
      <c r="L164" s="30">
        <f t="shared" si="61"/>
        <v>3.0599999999999996</v>
      </c>
      <c r="M164" s="27">
        <f t="shared" si="54"/>
        <v>-0.14982722204079169</v>
      </c>
      <c r="N164" s="19">
        <f t="shared" si="55"/>
        <v>2.910172777959208</v>
      </c>
      <c r="O164" s="27">
        <f t="shared" si="56"/>
        <v>0.69</v>
      </c>
      <c r="P164" s="27">
        <f t="shared" si="57"/>
        <v>6.209999999999999</v>
      </c>
      <c r="Q164" s="27">
        <f t="shared" si="58"/>
        <v>0.17999999999999883</v>
      </c>
      <c r="R164" s="19">
        <f t="shared" si="59"/>
        <v>2.730172777959209</v>
      </c>
    </row>
    <row r="165" spans="1:18" ht="12.75">
      <c r="A165" s="3">
        <v>2</v>
      </c>
      <c r="B165" s="9">
        <f t="shared" si="52"/>
        <v>43132</v>
      </c>
      <c r="C165" s="126">
        <f t="shared" si="60"/>
        <v>43164</v>
      </c>
      <c r="D165" s="126">
        <f t="shared" si="60"/>
        <v>43179</v>
      </c>
      <c r="E165" s="70" t="s">
        <v>57</v>
      </c>
      <c r="F165" s="3">
        <v>9</v>
      </c>
      <c r="G165" s="198">
        <v>9</v>
      </c>
      <c r="H165" s="127">
        <f t="shared" si="50"/>
        <v>0.67</v>
      </c>
      <c r="I165" s="127">
        <f t="shared" si="51"/>
        <v>1.01</v>
      </c>
      <c r="J165" s="28">
        <f t="shared" si="53"/>
        <v>9.09</v>
      </c>
      <c r="K165" s="29">
        <f t="shared" si="47"/>
        <v>6.03</v>
      </c>
      <c r="L165" s="30">
        <f t="shared" si="61"/>
        <v>3.0599999999999996</v>
      </c>
      <c r="M165" s="27">
        <f t="shared" si="54"/>
        <v>-0.14982722204079169</v>
      </c>
      <c r="N165" s="19">
        <f t="shared" si="55"/>
        <v>2.910172777959208</v>
      </c>
      <c r="O165" s="27">
        <f t="shared" si="56"/>
        <v>0.69</v>
      </c>
      <c r="P165" s="27">
        <f t="shared" si="57"/>
        <v>6.209999999999999</v>
      </c>
      <c r="Q165" s="27">
        <f t="shared" si="58"/>
        <v>0.17999999999999883</v>
      </c>
      <c r="R165" s="19">
        <f t="shared" si="59"/>
        <v>2.730172777959209</v>
      </c>
    </row>
    <row r="166" spans="1:18" ht="12.75">
      <c r="A166" s="3">
        <v>3</v>
      </c>
      <c r="B166" s="9">
        <f t="shared" si="52"/>
        <v>43160</v>
      </c>
      <c r="C166" s="126">
        <f t="shared" si="60"/>
        <v>43194</v>
      </c>
      <c r="D166" s="126">
        <f t="shared" si="60"/>
        <v>43209</v>
      </c>
      <c r="E166" s="70" t="s">
        <v>57</v>
      </c>
      <c r="F166" s="3">
        <v>9</v>
      </c>
      <c r="G166" s="198">
        <v>9</v>
      </c>
      <c r="H166" s="127">
        <f t="shared" si="50"/>
        <v>0.67</v>
      </c>
      <c r="I166" s="127">
        <f t="shared" si="51"/>
        <v>1.01</v>
      </c>
      <c r="J166" s="28">
        <f t="shared" si="53"/>
        <v>9.09</v>
      </c>
      <c r="K166" s="29">
        <f t="shared" si="47"/>
        <v>6.03</v>
      </c>
      <c r="L166" s="30">
        <f>+J166-K166</f>
        <v>3.0599999999999996</v>
      </c>
      <c r="M166" s="27">
        <f t="shared" si="54"/>
        <v>-0.14982722204079169</v>
      </c>
      <c r="N166" s="19">
        <f t="shared" si="55"/>
        <v>2.910172777959208</v>
      </c>
      <c r="O166" s="27">
        <f t="shared" si="56"/>
        <v>0.69</v>
      </c>
      <c r="P166" s="27">
        <f t="shared" si="57"/>
        <v>6.209999999999999</v>
      </c>
      <c r="Q166" s="27">
        <f t="shared" si="58"/>
        <v>0.17999999999999883</v>
      </c>
      <c r="R166" s="19">
        <f t="shared" si="59"/>
        <v>2.730172777959209</v>
      </c>
    </row>
    <row r="167" spans="1:18" ht="12.75">
      <c r="A167" s="10">
        <v>4</v>
      </c>
      <c r="B167" s="9">
        <f t="shared" si="52"/>
        <v>43191</v>
      </c>
      <c r="C167" s="126">
        <f t="shared" si="60"/>
        <v>43223</v>
      </c>
      <c r="D167" s="126">
        <f t="shared" si="60"/>
        <v>43238</v>
      </c>
      <c r="E167" s="70" t="s">
        <v>57</v>
      </c>
      <c r="F167" s="3">
        <v>9</v>
      </c>
      <c r="G167" s="198">
        <v>10</v>
      </c>
      <c r="H167" s="127">
        <f t="shared" si="50"/>
        <v>0.67</v>
      </c>
      <c r="I167" s="127">
        <f t="shared" si="51"/>
        <v>1.01</v>
      </c>
      <c r="J167" s="28">
        <f t="shared" si="53"/>
        <v>10.1</v>
      </c>
      <c r="K167" s="29">
        <f t="shared" si="47"/>
        <v>6.7</v>
      </c>
      <c r="L167" s="30">
        <f aca="true" t="shared" si="62" ref="L167:L177">+J167-K167</f>
        <v>3.3999999999999995</v>
      </c>
      <c r="M167" s="27">
        <f t="shared" si="54"/>
        <v>-0.1664746911564352</v>
      </c>
      <c r="N167" s="19">
        <f t="shared" si="55"/>
        <v>3.2335253088435643</v>
      </c>
      <c r="O167" s="27">
        <f t="shared" si="56"/>
        <v>0.69</v>
      </c>
      <c r="P167" s="27">
        <f t="shared" si="57"/>
        <v>6.8999999999999995</v>
      </c>
      <c r="Q167" s="27">
        <f t="shared" si="58"/>
        <v>0.1999999999999993</v>
      </c>
      <c r="R167" s="19">
        <f t="shared" si="59"/>
        <v>3.033525308843565</v>
      </c>
    </row>
    <row r="168" spans="1:18" ht="12.75">
      <c r="A168" s="3">
        <v>5</v>
      </c>
      <c r="B168" s="9">
        <f t="shared" si="52"/>
        <v>43221</v>
      </c>
      <c r="C168" s="126">
        <f t="shared" si="60"/>
        <v>43256</v>
      </c>
      <c r="D168" s="126">
        <f t="shared" si="60"/>
        <v>43271</v>
      </c>
      <c r="E168" s="70" t="s">
        <v>57</v>
      </c>
      <c r="F168" s="3">
        <v>9</v>
      </c>
      <c r="G168" s="198">
        <v>9</v>
      </c>
      <c r="H168" s="127">
        <f t="shared" si="50"/>
        <v>0.67</v>
      </c>
      <c r="I168" s="127">
        <f t="shared" si="51"/>
        <v>1.01</v>
      </c>
      <c r="J168" s="28">
        <f t="shared" si="53"/>
        <v>9.09</v>
      </c>
      <c r="K168" s="29">
        <f t="shared" si="47"/>
        <v>6.03</v>
      </c>
      <c r="L168" s="30">
        <f t="shared" si="62"/>
        <v>3.0599999999999996</v>
      </c>
      <c r="M168" s="27">
        <f t="shared" si="54"/>
        <v>-0.14982722204079169</v>
      </c>
      <c r="N168" s="19">
        <f t="shared" si="55"/>
        <v>2.910172777959208</v>
      </c>
      <c r="O168" s="27">
        <f t="shared" si="56"/>
        <v>0.69</v>
      </c>
      <c r="P168" s="27">
        <f t="shared" si="57"/>
        <v>6.209999999999999</v>
      </c>
      <c r="Q168" s="27">
        <f t="shared" si="58"/>
        <v>0.17999999999999883</v>
      </c>
      <c r="R168" s="19">
        <f t="shared" si="59"/>
        <v>2.730172777959209</v>
      </c>
    </row>
    <row r="169" spans="1:18" ht="12.75">
      <c r="A169" s="3">
        <v>6</v>
      </c>
      <c r="B169" s="9">
        <f t="shared" si="52"/>
        <v>43252</v>
      </c>
      <c r="C169" s="126">
        <f t="shared" si="60"/>
        <v>43286</v>
      </c>
      <c r="D169" s="126">
        <f t="shared" si="60"/>
        <v>43301</v>
      </c>
      <c r="E169" s="70" t="s">
        <v>57</v>
      </c>
      <c r="F169" s="3">
        <v>9</v>
      </c>
      <c r="G169" s="198">
        <v>14</v>
      </c>
      <c r="H169" s="127">
        <f t="shared" si="50"/>
        <v>0.67</v>
      </c>
      <c r="I169" s="127">
        <f t="shared" si="51"/>
        <v>1.01</v>
      </c>
      <c r="J169" s="28">
        <f t="shared" si="53"/>
        <v>14.14</v>
      </c>
      <c r="K169" s="29">
        <f t="shared" si="47"/>
        <v>9.38</v>
      </c>
      <c r="L169" s="39">
        <f t="shared" si="62"/>
        <v>4.76</v>
      </c>
      <c r="M169" s="27">
        <f t="shared" si="54"/>
        <v>-0.23306456761900932</v>
      </c>
      <c r="N169" s="19">
        <f t="shared" si="55"/>
        <v>4.5269354323809905</v>
      </c>
      <c r="O169" s="27">
        <f t="shared" si="56"/>
        <v>0.69</v>
      </c>
      <c r="P169" s="27">
        <f t="shared" si="57"/>
        <v>9.66</v>
      </c>
      <c r="Q169" s="27">
        <f t="shared" si="58"/>
        <v>0.27999999999999936</v>
      </c>
      <c r="R169" s="19">
        <f t="shared" si="59"/>
        <v>4.246935432380991</v>
      </c>
    </row>
    <row r="170" spans="1:18" ht="12.75">
      <c r="A170" s="10">
        <v>7</v>
      </c>
      <c r="B170" s="9">
        <f t="shared" si="52"/>
        <v>43282</v>
      </c>
      <c r="C170" s="126">
        <f t="shared" si="60"/>
        <v>43315</v>
      </c>
      <c r="D170" s="126">
        <f t="shared" si="60"/>
        <v>43330</v>
      </c>
      <c r="E170" s="70" t="s">
        <v>57</v>
      </c>
      <c r="F170" s="3">
        <v>9</v>
      </c>
      <c r="G170" s="198">
        <v>15</v>
      </c>
      <c r="H170" s="127">
        <f t="shared" si="50"/>
        <v>0.67</v>
      </c>
      <c r="I170" s="127">
        <f t="shared" si="51"/>
        <v>1.01</v>
      </c>
      <c r="J170" s="28">
        <f t="shared" si="53"/>
        <v>15.15</v>
      </c>
      <c r="K170" s="37">
        <f t="shared" si="47"/>
        <v>10.05</v>
      </c>
      <c r="L170" s="39">
        <f t="shared" si="62"/>
        <v>5.1</v>
      </c>
      <c r="M170" s="27">
        <f t="shared" si="54"/>
        <v>-0.24971203673465284</v>
      </c>
      <c r="N170" s="19">
        <f t="shared" si="55"/>
        <v>4.850287963265346</v>
      </c>
      <c r="O170" s="27">
        <f t="shared" si="56"/>
        <v>0.69</v>
      </c>
      <c r="P170" s="27">
        <f t="shared" si="57"/>
        <v>10.35</v>
      </c>
      <c r="Q170" s="27">
        <f t="shared" si="58"/>
        <v>0.29999999999999893</v>
      </c>
      <c r="R170" s="19">
        <f t="shared" si="59"/>
        <v>4.5502879632653475</v>
      </c>
    </row>
    <row r="171" spans="1:19" ht="12.75">
      <c r="A171" s="3">
        <v>8</v>
      </c>
      <c r="B171" s="9">
        <f t="shared" si="52"/>
        <v>43313</v>
      </c>
      <c r="C171" s="126">
        <f t="shared" si="60"/>
        <v>43348</v>
      </c>
      <c r="D171" s="126">
        <f t="shared" si="60"/>
        <v>43363</v>
      </c>
      <c r="E171" s="70" t="s">
        <v>57</v>
      </c>
      <c r="F171" s="10">
        <v>9</v>
      </c>
      <c r="G171" s="198">
        <v>14</v>
      </c>
      <c r="H171" s="127">
        <f t="shared" si="50"/>
        <v>0.67</v>
      </c>
      <c r="I171" s="127">
        <f t="shared" si="51"/>
        <v>1.01</v>
      </c>
      <c r="J171" s="28">
        <f t="shared" si="53"/>
        <v>14.14</v>
      </c>
      <c r="K171" s="37">
        <f t="shared" si="47"/>
        <v>9.38</v>
      </c>
      <c r="L171" s="39">
        <f t="shared" si="62"/>
        <v>4.76</v>
      </c>
      <c r="M171" s="27">
        <f t="shared" si="54"/>
        <v>-0.23306456761900932</v>
      </c>
      <c r="N171" s="19">
        <f t="shared" si="55"/>
        <v>4.5269354323809905</v>
      </c>
      <c r="O171" s="27">
        <f t="shared" si="56"/>
        <v>0.69</v>
      </c>
      <c r="P171" s="27">
        <f t="shared" si="57"/>
        <v>9.66</v>
      </c>
      <c r="Q171" s="27">
        <f t="shared" si="58"/>
        <v>0.27999999999999936</v>
      </c>
      <c r="R171" s="19">
        <f t="shared" si="59"/>
        <v>4.246935432380991</v>
      </c>
      <c r="S171" s="8"/>
    </row>
    <row r="172" spans="1:18" ht="12.75">
      <c r="A172" s="3">
        <v>9</v>
      </c>
      <c r="B172" s="9">
        <f t="shared" si="52"/>
        <v>43344</v>
      </c>
      <c r="C172" s="126">
        <f aca="true" t="shared" si="63" ref="C172:D175">+C160</f>
        <v>43376</v>
      </c>
      <c r="D172" s="126">
        <f t="shared" si="63"/>
        <v>43391</v>
      </c>
      <c r="E172" s="70" t="s">
        <v>57</v>
      </c>
      <c r="F172" s="10">
        <v>9</v>
      </c>
      <c r="G172" s="198">
        <v>13</v>
      </c>
      <c r="H172" s="127">
        <f t="shared" si="50"/>
        <v>0.67</v>
      </c>
      <c r="I172" s="127">
        <f t="shared" si="51"/>
        <v>1.01</v>
      </c>
      <c r="J172" s="28">
        <f t="shared" si="53"/>
        <v>13.13</v>
      </c>
      <c r="K172" s="37">
        <f t="shared" si="47"/>
        <v>8.71</v>
      </c>
      <c r="L172" s="39">
        <f t="shared" si="62"/>
        <v>4.42</v>
      </c>
      <c r="M172" s="27">
        <f t="shared" si="54"/>
        <v>-0.2164170985033658</v>
      </c>
      <c r="N172" s="19">
        <f t="shared" si="55"/>
        <v>4.203582901496634</v>
      </c>
      <c r="O172" s="27">
        <f t="shared" si="56"/>
        <v>0.69</v>
      </c>
      <c r="P172" s="27">
        <f t="shared" si="57"/>
        <v>8.969999999999999</v>
      </c>
      <c r="Q172" s="27">
        <f t="shared" si="58"/>
        <v>0.259999999999998</v>
      </c>
      <c r="R172" s="19">
        <f t="shared" si="59"/>
        <v>3.9435829014966357</v>
      </c>
    </row>
    <row r="173" spans="1:18" ht="12.75">
      <c r="A173" s="10">
        <v>10</v>
      </c>
      <c r="B173" s="9">
        <f t="shared" si="52"/>
        <v>43374</v>
      </c>
      <c r="C173" s="126">
        <f t="shared" si="63"/>
        <v>43409</v>
      </c>
      <c r="D173" s="126">
        <f t="shared" si="63"/>
        <v>43424</v>
      </c>
      <c r="E173" s="70" t="s">
        <v>57</v>
      </c>
      <c r="F173" s="10">
        <v>9</v>
      </c>
      <c r="G173" s="198">
        <v>13</v>
      </c>
      <c r="H173" s="127">
        <f t="shared" si="50"/>
        <v>0.67</v>
      </c>
      <c r="I173" s="127">
        <f t="shared" si="51"/>
        <v>1.01</v>
      </c>
      <c r="J173" s="28">
        <f t="shared" si="53"/>
        <v>13.13</v>
      </c>
      <c r="K173" s="37">
        <f t="shared" si="47"/>
        <v>8.71</v>
      </c>
      <c r="L173" s="39">
        <f t="shared" si="62"/>
        <v>4.42</v>
      </c>
      <c r="M173" s="27">
        <f t="shared" si="54"/>
        <v>-0.2164170985033658</v>
      </c>
      <c r="N173" s="19">
        <f t="shared" si="55"/>
        <v>4.203582901496634</v>
      </c>
      <c r="O173" s="27">
        <f t="shared" si="56"/>
        <v>0.69</v>
      </c>
      <c r="P173" s="27">
        <f t="shared" si="57"/>
        <v>8.969999999999999</v>
      </c>
      <c r="Q173" s="27">
        <f t="shared" si="58"/>
        <v>0.259999999999998</v>
      </c>
      <c r="R173" s="19">
        <f t="shared" si="59"/>
        <v>3.9435829014966357</v>
      </c>
    </row>
    <row r="174" spans="1:18" ht="12.75">
      <c r="A174" s="3">
        <v>11</v>
      </c>
      <c r="B174" s="9">
        <f t="shared" si="52"/>
        <v>43405</v>
      </c>
      <c r="C174" s="126">
        <f t="shared" si="63"/>
        <v>43439</v>
      </c>
      <c r="D174" s="126">
        <f t="shared" si="63"/>
        <v>43454</v>
      </c>
      <c r="E174" s="70" t="s">
        <v>57</v>
      </c>
      <c r="F174" s="10">
        <v>9</v>
      </c>
      <c r="G174" s="198">
        <v>5</v>
      </c>
      <c r="H174" s="127">
        <f t="shared" si="50"/>
        <v>0.67</v>
      </c>
      <c r="I174" s="127">
        <f t="shared" si="51"/>
        <v>1.01</v>
      </c>
      <c r="J174" s="28">
        <f t="shared" si="53"/>
        <v>5.05</v>
      </c>
      <c r="K174" s="37">
        <f t="shared" si="47"/>
        <v>3.35</v>
      </c>
      <c r="L174" s="39">
        <f t="shared" si="62"/>
        <v>1.6999999999999997</v>
      </c>
      <c r="M174" s="27">
        <f t="shared" si="54"/>
        <v>-0.0832373455782176</v>
      </c>
      <c r="N174" s="19">
        <f t="shared" si="55"/>
        <v>1.6167626544217821</v>
      </c>
      <c r="O174" s="27">
        <f t="shared" si="56"/>
        <v>0.69</v>
      </c>
      <c r="P174" s="27">
        <f t="shared" si="57"/>
        <v>3.4499999999999997</v>
      </c>
      <c r="Q174" s="27">
        <f t="shared" si="58"/>
        <v>0.09999999999999964</v>
      </c>
      <c r="R174" s="19">
        <f t="shared" si="59"/>
        <v>1.5167626544217825</v>
      </c>
    </row>
    <row r="175" spans="1:18" s="34" customFormat="1" ht="12.75">
      <c r="A175" s="3">
        <v>12</v>
      </c>
      <c r="B175" s="44">
        <f t="shared" si="52"/>
        <v>43435</v>
      </c>
      <c r="C175" s="126">
        <f t="shared" si="63"/>
        <v>43468</v>
      </c>
      <c r="D175" s="126">
        <f t="shared" si="63"/>
        <v>43483</v>
      </c>
      <c r="E175" s="71" t="s">
        <v>57</v>
      </c>
      <c r="F175" s="42">
        <v>9</v>
      </c>
      <c r="G175" s="199">
        <v>11</v>
      </c>
      <c r="H175" s="127">
        <f t="shared" si="50"/>
        <v>0.67</v>
      </c>
      <c r="I175" s="128">
        <f t="shared" si="51"/>
        <v>1.01</v>
      </c>
      <c r="J175" s="46">
        <f t="shared" si="53"/>
        <v>11.11</v>
      </c>
      <c r="K175" s="47">
        <f t="shared" si="47"/>
        <v>7.37</v>
      </c>
      <c r="L175" s="48">
        <f t="shared" si="62"/>
        <v>3.7399999999999993</v>
      </c>
      <c r="M175" s="27">
        <f t="shared" si="54"/>
        <v>-0.18312216027207873</v>
      </c>
      <c r="N175" s="19">
        <f t="shared" si="55"/>
        <v>3.5568778397279206</v>
      </c>
      <c r="O175" s="27">
        <f t="shared" si="56"/>
        <v>0.69</v>
      </c>
      <c r="P175" s="27">
        <f t="shared" si="57"/>
        <v>7.59</v>
      </c>
      <c r="Q175" s="27">
        <f t="shared" si="58"/>
        <v>0.21999999999999975</v>
      </c>
      <c r="R175" s="19">
        <f t="shared" si="59"/>
        <v>3.336877839727921</v>
      </c>
    </row>
    <row r="176" spans="1:18" ht="12.75">
      <c r="A176" s="10">
        <v>1</v>
      </c>
      <c r="B176" s="9">
        <f t="shared" si="52"/>
        <v>43101</v>
      </c>
      <c r="C176" s="125">
        <f aca="true" t="shared" si="64" ref="C176:D187">+C152</f>
        <v>43136</v>
      </c>
      <c r="D176" s="125">
        <f t="shared" si="64"/>
        <v>43151</v>
      </c>
      <c r="E176" s="59" t="s">
        <v>58</v>
      </c>
      <c r="F176" s="3">
        <v>9</v>
      </c>
      <c r="G176" s="198">
        <v>25</v>
      </c>
      <c r="H176" s="127">
        <f t="shared" si="50"/>
        <v>0.67</v>
      </c>
      <c r="I176" s="127">
        <f t="shared" si="51"/>
        <v>1.01</v>
      </c>
      <c r="J176" s="28">
        <f t="shared" si="53"/>
        <v>25.25</v>
      </c>
      <c r="K176" s="29">
        <f t="shared" si="47"/>
        <v>16.75</v>
      </c>
      <c r="L176" s="30">
        <f t="shared" si="62"/>
        <v>8.5</v>
      </c>
      <c r="M176" s="27">
        <f t="shared" si="54"/>
        <v>-0.416186727891088</v>
      </c>
      <c r="N176" s="19">
        <f t="shared" si="55"/>
        <v>8.083813272108912</v>
      </c>
      <c r="O176" s="27">
        <f t="shared" si="56"/>
        <v>0.69</v>
      </c>
      <c r="P176" s="27">
        <f t="shared" si="57"/>
        <v>17.25</v>
      </c>
      <c r="Q176" s="27">
        <f t="shared" si="58"/>
        <v>0.5</v>
      </c>
      <c r="R176" s="19">
        <f t="shared" si="59"/>
        <v>7.583813272108912</v>
      </c>
    </row>
    <row r="177" spans="1:18" ht="12.75">
      <c r="A177" s="3">
        <v>2</v>
      </c>
      <c r="B177" s="9">
        <f t="shared" si="52"/>
        <v>43132</v>
      </c>
      <c r="C177" s="126">
        <f t="shared" si="64"/>
        <v>43164</v>
      </c>
      <c r="D177" s="126">
        <f t="shared" si="64"/>
        <v>43179</v>
      </c>
      <c r="E177" s="20" t="s">
        <v>58</v>
      </c>
      <c r="F177" s="3">
        <v>9</v>
      </c>
      <c r="G177" s="198">
        <v>21</v>
      </c>
      <c r="H177" s="127">
        <f t="shared" si="50"/>
        <v>0.67</v>
      </c>
      <c r="I177" s="127">
        <f t="shared" si="51"/>
        <v>1.01</v>
      </c>
      <c r="J177" s="28">
        <f t="shared" si="53"/>
        <v>21.21</v>
      </c>
      <c r="K177" s="29">
        <f t="shared" si="47"/>
        <v>14.07</v>
      </c>
      <c r="L177" s="30">
        <f t="shared" si="62"/>
        <v>7.140000000000001</v>
      </c>
      <c r="M177" s="27">
        <f t="shared" si="54"/>
        <v>-0.34959685142851393</v>
      </c>
      <c r="N177" s="19">
        <f t="shared" si="55"/>
        <v>6.790403148571487</v>
      </c>
      <c r="O177" s="27">
        <f t="shared" si="56"/>
        <v>0.69</v>
      </c>
      <c r="P177" s="27">
        <f t="shared" si="57"/>
        <v>14.489999999999998</v>
      </c>
      <c r="Q177" s="27">
        <f t="shared" si="58"/>
        <v>0.41999999999999815</v>
      </c>
      <c r="R177" s="19">
        <f t="shared" si="59"/>
        <v>6.370403148571489</v>
      </c>
    </row>
    <row r="178" spans="1:18" ht="12.75">
      <c r="A178" s="3">
        <v>3</v>
      </c>
      <c r="B178" s="9">
        <f t="shared" si="52"/>
        <v>43160</v>
      </c>
      <c r="C178" s="126">
        <f t="shared" si="64"/>
        <v>43194</v>
      </c>
      <c r="D178" s="126">
        <f t="shared" si="64"/>
        <v>43209</v>
      </c>
      <c r="E178" s="20" t="s">
        <v>58</v>
      </c>
      <c r="F178" s="3">
        <v>9</v>
      </c>
      <c r="G178" s="198">
        <v>18</v>
      </c>
      <c r="H178" s="127">
        <f t="shared" si="50"/>
        <v>0.67</v>
      </c>
      <c r="I178" s="127">
        <f t="shared" si="51"/>
        <v>1.01</v>
      </c>
      <c r="J178" s="28">
        <f t="shared" si="53"/>
        <v>18.18</v>
      </c>
      <c r="K178" s="29">
        <f t="shared" si="47"/>
        <v>12.06</v>
      </c>
      <c r="L178" s="30">
        <f>+J178-K178</f>
        <v>6.119999999999999</v>
      </c>
      <c r="M178" s="27">
        <f t="shared" si="54"/>
        <v>-0.29965444408158337</v>
      </c>
      <c r="N178" s="19">
        <f t="shared" si="55"/>
        <v>5.820345555918416</v>
      </c>
      <c r="O178" s="27">
        <f t="shared" si="56"/>
        <v>0.69</v>
      </c>
      <c r="P178" s="27">
        <f t="shared" si="57"/>
        <v>12.419999999999998</v>
      </c>
      <c r="Q178" s="27">
        <f t="shared" si="58"/>
        <v>0.35999999999999766</v>
      </c>
      <c r="R178" s="19">
        <f t="shared" si="59"/>
        <v>5.460345555918418</v>
      </c>
    </row>
    <row r="179" spans="1:18" ht="12.75">
      <c r="A179" s="10">
        <v>4</v>
      </c>
      <c r="B179" s="9">
        <f t="shared" si="52"/>
        <v>43191</v>
      </c>
      <c r="C179" s="126">
        <f t="shared" si="64"/>
        <v>43223</v>
      </c>
      <c r="D179" s="126">
        <f t="shared" si="64"/>
        <v>43238</v>
      </c>
      <c r="E179" s="20" t="s">
        <v>58</v>
      </c>
      <c r="F179" s="3">
        <v>9</v>
      </c>
      <c r="G179" s="198">
        <v>21</v>
      </c>
      <c r="H179" s="127">
        <f t="shared" si="50"/>
        <v>0.67</v>
      </c>
      <c r="I179" s="127">
        <f t="shared" si="51"/>
        <v>1.01</v>
      </c>
      <c r="J179" s="28">
        <f t="shared" si="53"/>
        <v>21.21</v>
      </c>
      <c r="K179" s="29">
        <f t="shared" si="47"/>
        <v>14.07</v>
      </c>
      <c r="L179" s="30">
        <f aca="true" t="shared" si="65" ref="L179:L189">+J179-K179</f>
        <v>7.140000000000001</v>
      </c>
      <c r="M179" s="27">
        <f t="shared" si="54"/>
        <v>-0.34959685142851393</v>
      </c>
      <c r="N179" s="19">
        <f t="shared" si="55"/>
        <v>6.790403148571487</v>
      </c>
      <c r="O179" s="27">
        <f t="shared" si="56"/>
        <v>0.69</v>
      </c>
      <c r="P179" s="27">
        <f t="shared" si="57"/>
        <v>14.489999999999998</v>
      </c>
      <c r="Q179" s="27">
        <f t="shared" si="58"/>
        <v>0.41999999999999815</v>
      </c>
      <c r="R179" s="19">
        <f t="shared" si="59"/>
        <v>6.370403148571489</v>
      </c>
    </row>
    <row r="180" spans="1:18" ht="12.75">
      <c r="A180" s="3">
        <v>5</v>
      </c>
      <c r="B180" s="9">
        <f t="shared" si="52"/>
        <v>43221</v>
      </c>
      <c r="C180" s="126">
        <f t="shared" si="64"/>
        <v>43256</v>
      </c>
      <c r="D180" s="126">
        <f t="shared" si="64"/>
        <v>43271</v>
      </c>
      <c r="E180" s="20" t="s">
        <v>58</v>
      </c>
      <c r="F180" s="3">
        <v>9</v>
      </c>
      <c r="G180" s="198">
        <v>34</v>
      </c>
      <c r="H180" s="127">
        <f t="shared" si="50"/>
        <v>0.67</v>
      </c>
      <c r="I180" s="127">
        <f aca="true" t="shared" si="66" ref="I180:I211">$J$3</f>
        <v>1.01</v>
      </c>
      <c r="J180" s="28">
        <f t="shared" si="53"/>
        <v>34.34</v>
      </c>
      <c r="K180" s="29">
        <f t="shared" si="47"/>
        <v>22.78</v>
      </c>
      <c r="L180" s="30">
        <f t="shared" si="65"/>
        <v>11.560000000000002</v>
      </c>
      <c r="M180" s="27">
        <f t="shared" si="54"/>
        <v>-0.5660139499318797</v>
      </c>
      <c r="N180" s="19">
        <f t="shared" si="55"/>
        <v>10.993986050068123</v>
      </c>
      <c r="O180" s="27">
        <f t="shared" si="56"/>
        <v>0.69</v>
      </c>
      <c r="P180" s="27">
        <f t="shared" si="57"/>
        <v>23.459999999999997</v>
      </c>
      <c r="Q180" s="27">
        <f t="shared" si="58"/>
        <v>0.6799999999999962</v>
      </c>
      <c r="R180" s="19">
        <f t="shared" si="59"/>
        <v>10.313986050068127</v>
      </c>
    </row>
    <row r="181" spans="1:18" ht="12.75">
      <c r="A181" s="3">
        <v>6</v>
      </c>
      <c r="B181" s="9">
        <f t="shared" si="52"/>
        <v>43252</v>
      </c>
      <c r="C181" s="126">
        <f t="shared" si="64"/>
        <v>43286</v>
      </c>
      <c r="D181" s="126">
        <f t="shared" si="64"/>
        <v>43301</v>
      </c>
      <c r="E181" s="20" t="s">
        <v>58</v>
      </c>
      <c r="F181" s="3">
        <v>9</v>
      </c>
      <c r="G181" s="198">
        <v>37</v>
      </c>
      <c r="H181" s="127">
        <f t="shared" si="50"/>
        <v>0.67</v>
      </c>
      <c r="I181" s="127">
        <f t="shared" si="66"/>
        <v>1.01</v>
      </c>
      <c r="J181" s="28">
        <f t="shared" si="53"/>
        <v>37.37</v>
      </c>
      <c r="K181" s="29">
        <f t="shared" si="47"/>
        <v>24.790000000000003</v>
      </c>
      <c r="L181" s="39">
        <f t="shared" si="65"/>
        <v>12.579999999999995</v>
      </c>
      <c r="M181" s="27">
        <f t="shared" si="54"/>
        <v>-0.6159563572788103</v>
      </c>
      <c r="N181" s="19">
        <f t="shared" si="55"/>
        <v>11.964043642721185</v>
      </c>
      <c r="O181" s="27">
        <f t="shared" si="56"/>
        <v>0.69</v>
      </c>
      <c r="P181" s="27">
        <f t="shared" si="57"/>
        <v>25.529999999999998</v>
      </c>
      <c r="Q181" s="27">
        <f t="shared" si="58"/>
        <v>0.7399999999999949</v>
      </c>
      <c r="R181" s="19">
        <f t="shared" si="59"/>
        <v>11.22404364272119</v>
      </c>
    </row>
    <row r="182" spans="1:18" ht="12.75">
      <c r="A182" s="10">
        <v>7</v>
      </c>
      <c r="B182" s="9">
        <f t="shared" si="52"/>
        <v>43282</v>
      </c>
      <c r="C182" s="126">
        <f t="shared" si="64"/>
        <v>43315</v>
      </c>
      <c r="D182" s="126">
        <f t="shared" si="64"/>
        <v>43330</v>
      </c>
      <c r="E182" s="20" t="s">
        <v>58</v>
      </c>
      <c r="F182" s="3">
        <v>9</v>
      </c>
      <c r="G182" s="198">
        <v>38</v>
      </c>
      <c r="H182" s="127">
        <f t="shared" si="50"/>
        <v>0.67</v>
      </c>
      <c r="I182" s="127">
        <f t="shared" si="66"/>
        <v>1.01</v>
      </c>
      <c r="J182" s="28">
        <f t="shared" si="53"/>
        <v>38.38</v>
      </c>
      <c r="K182" s="37">
        <f t="shared" si="47"/>
        <v>25.46</v>
      </c>
      <c r="L182" s="39">
        <f t="shared" si="65"/>
        <v>12.920000000000002</v>
      </c>
      <c r="M182" s="27">
        <f t="shared" si="54"/>
        <v>-0.6326038263944538</v>
      </c>
      <c r="N182" s="19">
        <f t="shared" si="55"/>
        <v>12.287396173605547</v>
      </c>
      <c r="O182" s="27">
        <f t="shared" si="56"/>
        <v>0.69</v>
      </c>
      <c r="P182" s="27">
        <f t="shared" si="57"/>
        <v>26.22</v>
      </c>
      <c r="Q182" s="27">
        <f t="shared" si="58"/>
        <v>0.759999999999998</v>
      </c>
      <c r="R182" s="19">
        <f t="shared" si="59"/>
        <v>11.527396173605549</v>
      </c>
    </row>
    <row r="183" spans="1:18" ht="12.75">
      <c r="A183" s="3">
        <v>8</v>
      </c>
      <c r="B183" s="9">
        <f t="shared" si="52"/>
        <v>43313</v>
      </c>
      <c r="C183" s="126">
        <f t="shared" si="64"/>
        <v>43348</v>
      </c>
      <c r="D183" s="126">
        <f t="shared" si="64"/>
        <v>43363</v>
      </c>
      <c r="E183" s="20" t="s">
        <v>58</v>
      </c>
      <c r="F183" s="3">
        <v>9</v>
      </c>
      <c r="G183" s="198">
        <v>35</v>
      </c>
      <c r="H183" s="127">
        <f t="shared" si="50"/>
        <v>0.67</v>
      </c>
      <c r="I183" s="127">
        <f t="shared" si="66"/>
        <v>1.01</v>
      </c>
      <c r="J183" s="28">
        <f t="shared" si="53"/>
        <v>35.35</v>
      </c>
      <c r="K183" s="37">
        <f t="shared" si="47"/>
        <v>23.450000000000003</v>
      </c>
      <c r="L183" s="39">
        <f t="shared" si="65"/>
        <v>11.899999999999999</v>
      </c>
      <c r="M183" s="27">
        <f t="shared" si="54"/>
        <v>-0.5826614190475232</v>
      </c>
      <c r="N183" s="19">
        <f t="shared" si="55"/>
        <v>11.317338580952475</v>
      </c>
      <c r="O183" s="27">
        <f t="shared" si="56"/>
        <v>0.69</v>
      </c>
      <c r="P183" s="27">
        <f t="shared" si="57"/>
        <v>24.15</v>
      </c>
      <c r="Q183" s="27">
        <f t="shared" si="58"/>
        <v>0.6999999999999957</v>
      </c>
      <c r="R183" s="19">
        <f t="shared" si="59"/>
        <v>10.61733858095248</v>
      </c>
    </row>
    <row r="184" spans="1:18" ht="12.75">
      <c r="A184" s="3">
        <v>9</v>
      </c>
      <c r="B184" s="9">
        <f t="shared" si="52"/>
        <v>43344</v>
      </c>
      <c r="C184" s="126">
        <f t="shared" si="64"/>
        <v>43376</v>
      </c>
      <c r="D184" s="126">
        <f t="shared" si="64"/>
        <v>43391</v>
      </c>
      <c r="E184" s="20" t="s">
        <v>58</v>
      </c>
      <c r="F184" s="3">
        <v>9</v>
      </c>
      <c r="G184" s="198">
        <v>36</v>
      </c>
      <c r="H184" s="127">
        <f t="shared" si="50"/>
        <v>0.67</v>
      </c>
      <c r="I184" s="127">
        <f t="shared" si="66"/>
        <v>1.01</v>
      </c>
      <c r="J184" s="28">
        <f t="shared" si="53"/>
        <v>36.36</v>
      </c>
      <c r="K184" s="37">
        <f t="shared" si="47"/>
        <v>24.12</v>
      </c>
      <c r="L184" s="39">
        <f t="shared" si="65"/>
        <v>12.239999999999998</v>
      </c>
      <c r="M184" s="27">
        <f t="shared" si="54"/>
        <v>-0.5993088881631667</v>
      </c>
      <c r="N184" s="19">
        <f t="shared" si="55"/>
        <v>11.640691111836832</v>
      </c>
      <c r="O184" s="27">
        <f t="shared" si="56"/>
        <v>0.69</v>
      </c>
      <c r="P184" s="27">
        <f t="shared" si="57"/>
        <v>24.839999999999996</v>
      </c>
      <c r="Q184" s="27">
        <f t="shared" si="58"/>
        <v>0.7199999999999953</v>
      </c>
      <c r="R184" s="19">
        <f t="shared" si="59"/>
        <v>10.920691111836836</v>
      </c>
    </row>
    <row r="185" spans="1:18" ht="12.75">
      <c r="A185" s="10">
        <v>10</v>
      </c>
      <c r="B185" s="9">
        <f t="shared" si="52"/>
        <v>43374</v>
      </c>
      <c r="C185" s="126">
        <f t="shared" si="64"/>
        <v>43409</v>
      </c>
      <c r="D185" s="126">
        <f t="shared" si="64"/>
        <v>43424</v>
      </c>
      <c r="E185" s="20" t="s">
        <v>58</v>
      </c>
      <c r="F185" s="3">
        <v>9</v>
      </c>
      <c r="G185" s="198">
        <v>30</v>
      </c>
      <c r="H185" s="127">
        <f t="shared" si="50"/>
        <v>0.67</v>
      </c>
      <c r="I185" s="127">
        <f t="shared" si="66"/>
        <v>1.01</v>
      </c>
      <c r="J185" s="28">
        <f t="shared" si="53"/>
        <v>30.3</v>
      </c>
      <c r="K185" s="37">
        <f t="shared" si="47"/>
        <v>20.1</v>
      </c>
      <c r="L185" s="39">
        <f t="shared" si="65"/>
        <v>10.2</v>
      </c>
      <c r="M185" s="27">
        <f t="shared" si="54"/>
        <v>-0.4994240734693057</v>
      </c>
      <c r="N185" s="19">
        <f t="shared" si="55"/>
        <v>9.700575926530693</v>
      </c>
      <c r="O185" s="27">
        <f t="shared" si="56"/>
        <v>0.69</v>
      </c>
      <c r="P185" s="27">
        <f t="shared" si="57"/>
        <v>20.7</v>
      </c>
      <c r="Q185" s="27">
        <f t="shared" si="58"/>
        <v>0.5999999999999979</v>
      </c>
      <c r="R185" s="19">
        <f t="shared" si="59"/>
        <v>9.100575926530695</v>
      </c>
    </row>
    <row r="186" spans="1:18" ht="12.75">
      <c r="A186" s="3">
        <v>11</v>
      </c>
      <c r="B186" s="9">
        <f t="shared" si="52"/>
        <v>43405</v>
      </c>
      <c r="C186" s="126">
        <f t="shared" si="64"/>
        <v>43439</v>
      </c>
      <c r="D186" s="126">
        <f t="shared" si="64"/>
        <v>43454</v>
      </c>
      <c r="E186" s="20" t="s">
        <v>58</v>
      </c>
      <c r="F186" s="3">
        <v>9</v>
      </c>
      <c r="G186" s="198">
        <v>20</v>
      </c>
      <c r="H186" s="127">
        <f t="shared" si="50"/>
        <v>0.67</v>
      </c>
      <c r="I186" s="127">
        <f t="shared" si="66"/>
        <v>1.01</v>
      </c>
      <c r="J186" s="28">
        <f t="shared" si="53"/>
        <v>20.2</v>
      </c>
      <c r="K186" s="37">
        <f t="shared" si="47"/>
        <v>13.4</v>
      </c>
      <c r="L186" s="39">
        <f t="shared" si="65"/>
        <v>6.799999999999999</v>
      </c>
      <c r="M186" s="27">
        <f t="shared" si="54"/>
        <v>-0.3329493823128704</v>
      </c>
      <c r="N186" s="19">
        <f t="shared" si="55"/>
        <v>6.4670506176871285</v>
      </c>
      <c r="O186" s="27">
        <f t="shared" si="56"/>
        <v>0.69</v>
      </c>
      <c r="P186" s="27">
        <f t="shared" si="57"/>
        <v>13.799999999999999</v>
      </c>
      <c r="Q186" s="27">
        <f t="shared" si="58"/>
        <v>0.3999999999999986</v>
      </c>
      <c r="R186" s="19">
        <f t="shared" si="59"/>
        <v>6.06705061768713</v>
      </c>
    </row>
    <row r="187" spans="1:18" s="34" customFormat="1" ht="12.75">
      <c r="A187" s="3">
        <v>12</v>
      </c>
      <c r="B187" s="44">
        <f t="shared" si="52"/>
        <v>43435</v>
      </c>
      <c r="C187" s="126">
        <f t="shared" si="64"/>
        <v>43468</v>
      </c>
      <c r="D187" s="126">
        <f t="shared" si="64"/>
        <v>43483</v>
      </c>
      <c r="E187" s="45" t="s">
        <v>58</v>
      </c>
      <c r="F187" s="42">
        <v>9</v>
      </c>
      <c r="G187" s="199">
        <v>21</v>
      </c>
      <c r="H187" s="127">
        <f t="shared" si="50"/>
        <v>0.67</v>
      </c>
      <c r="I187" s="128">
        <f t="shared" si="66"/>
        <v>1.01</v>
      </c>
      <c r="J187" s="46">
        <f t="shared" si="53"/>
        <v>21.21</v>
      </c>
      <c r="K187" s="47">
        <f t="shared" si="47"/>
        <v>14.07</v>
      </c>
      <c r="L187" s="48">
        <f t="shared" si="65"/>
        <v>7.140000000000001</v>
      </c>
      <c r="M187" s="27">
        <f t="shared" si="54"/>
        <v>-0.34959685142851393</v>
      </c>
      <c r="N187" s="19">
        <f t="shared" si="55"/>
        <v>6.790403148571487</v>
      </c>
      <c r="O187" s="27">
        <f t="shared" si="56"/>
        <v>0.69</v>
      </c>
      <c r="P187" s="27">
        <f t="shared" si="57"/>
        <v>14.489999999999998</v>
      </c>
      <c r="Q187" s="27">
        <f t="shared" si="58"/>
        <v>0.41999999999999815</v>
      </c>
      <c r="R187" s="19">
        <f t="shared" si="59"/>
        <v>6.370403148571489</v>
      </c>
    </row>
    <row r="188" spans="1:18" ht="12.75">
      <c r="A188" s="10">
        <v>1</v>
      </c>
      <c r="B188" s="9">
        <f t="shared" si="52"/>
        <v>43101</v>
      </c>
      <c r="C188" s="125">
        <f aca="true" t="shared" si="67" ref="C188:D211">+C176</f>
        <v>43136</v>
      </c>
      <c r="D188" s="125">
        <f t="shared" si="67"/>
        <v>43151</v>
      </c>
      <c r="E188" s="60" t="s">
        <v>59</v>
      </c>
      <c r="F188" s="10">
        <v>9</v>
      </c>
      <c r="G188" s="198">
        <v>45</v>
      </c>
      <c r="H188" s="127">
        <f t="shared" si="50"/>
        <v>0.67</v>
      </c>
      <c r="I188" s="127">
        <f t="shared" si="66"/>
        <v>1.01</v>
      </c>
      <c r="J188" s="28">
        <f t="shared" si="53"/>
        <v>45.45</v>
      </c>
      <c r="K188" s="29">
        <f t="shared" si="47"/>
        <v>30.150000000000002</v>
      </c>
      <c r="L188" s="30">
        <f t="shared" si="65"/>
        <v>15.3</v>
      </c>
      <c r="M188" s="27">
        <f t="shared" si="54"/>
        <v>-0.7491361102039584</v>
      </c>
      <c r="N188" s="19">
        <f t="shared" si="55"/>
        <v>14.550863889796043</v>
      </c>
      <c r="O188" s="27">
        <f t="shared" si="56"/>
        <v>0.69</v>
      </c>
      <c r="P188" s="27">
        <f t="shared" si="57"/>
        <v>31.049999999999997</v>
      </c>
      <c r="Q188" s="27">
        <f t="shared" si="58"/>
        <v>0.899999999999995</v>
      </c>
      <c r="R188" s="19">
        <f t="shared" si="59"/>
        <v>13.650863889796048</v>
      </c>
    </row>
    <row r="189" spans="1:18" ht="12.75">
      <c r="A189" s="3">
        <v>2</v>
      </c>
      <c r="B189" s="9">
        <f t="shared" si="52"/>
        <v>43132</v>
      </c>
      <c r="C189" s="126">
        <f t="shared" si="67"/>
        <v>43164</v>
      </c>
      <c r="D189" s="126">
        <f t="shared" si="67"/>
        <v>43179</v>
      </c>
      <c r="E189" s="35" t="s">
        <v>59</v>
      </c>
      <c r="F189" s="3">
        <v>9</v>
      </c>
      <c r="G189" s="198">
        <v>43</v>
      </c>
      <c r="H189" s="127">
        <f t="shared" si="50"/>
        <v>0.67</v>
      </c>
      <c r="I189" s="127">
        <f t="shared" si="66"/>
        <v>1.01</v>
      </c>
      <c r="J189" s="28">
        <f t="shared" si="53"/>
        <v>43.43</v>
      </c>
      <c r="K189" s="29">
        <f t="shared" si="47"/>
        <v>28.810000000000002</v>
      </c>
      <c r="L189" s="30">
        <f t="shared" si="65"/>
        <v>14.619999999999997</v>
      </c>
      <c r="M189" s="27">
        <f t="shared" si="54"/>
        <v>-0.7158411719726714</v>
      </c>
      <c r="N189" s="19">
        <f t="shared" si="55"/>
        <v>13.904158828027326</v>
      </c>
      <c r="O189" s="27">
        <f t="shared" si="56"/>
        <v>0.69</v>
      </c>
      <c r="P189" s="27">
        <f t="shared" si="57"/>
        <v>29.669999999999998</v>
      </c>
      <c r="Q189" s="27">
        <f t="shared" si="58"/>
        <v>0.8599999999999959</v>
      </c>
      <c r="R189" s="19">
        <f t="shared" si="59"/>
        <v>13.04415882802733</v>
      </c>
    </row>
    <row r="190" spans="1:18" ht="12.75">
      <c r="A190" s="3">
        <v>3</v>
      </c>
      <c r="B190" s="9">
        <f t="shared" si="52"/>
        <v>43160</v>
      </c>
      <c r="C190" s="126">
        <f t="shared" si="67"/>
        <v>43194</v>
      </c>
      <c r="D190" s="126">
        <f t="shared" si="67"/>
        <v>43209</v>
      </c>
      <c r="E190" s="35" t="s">
        <v>59</v>
      </c>
      <c r="F190" s="3">
        <v>9</v>
      </c>
      <c r="G190" s="198">
        <v>39</v>
      </c>
      <c r="H190" s="127">
        <f t="shared" si="50"/>
        <v>0.67</v>
      </c>
      <c r="I190" s="127">
        <f t="shared" si="66"/>
        <v>1.01</v>
      </c>
      <c r="J190" s="28">
        <f t="shared" si="53"/>
        <v>39.39</v>
      </c>
      <c r="K190" s="29">
        <f t="shared" si="47"/>
        <v>26.130000000000003</v>
      </c>
      <c r="L190" s="30">
        <f>+J190-K190</f>
        <v>13.259999999999998</v>
      </c>
      <c r="M190" s="27">
        <f t="shared" si="54"/>
        <v>-0.6492512955100973</v>
      </c>
      <c r="N190" s="19">
        <f t="shared" si="55"/>
        <v>12.6107487044899</v>
      </c>
      <c r="O190" s="27">
        <f t="shared" si="56"/>
        <v>0.69</v>
      </c>
      <c r="P190" s="27">
        <f t="shared" si="57"/>
        <v>26.909999999999997</v>
      </c>
      <c r="Q190" s="27">
        <f t="shared" si="58"/>
        <v>0.779999999999994</v>
      </c>
      <c r="R190" s="19">
        <f t="shared" si="59"/>
        <v>11.830748704489906</v>
      </c>
    </row>
    <row r="191" spans="1:18" ht="12.75">
      <c r="A191" s="10">
        <v>4</v>
      </c>
      <c r="B191" s="9">
        <f t="shared" si="52"/>
        <v>43191</v>
      </c>
      <c r="C191" s="126">
        <f t="shared" si="67"/>
        <v>43223</v>
      </c>
      <c r="D191" s="126">
        <f t="shared" si="67"/>
        <v>43238</v>
      </c>
      <c r="E191" s="20" t="s">
        <v>59</v>
      </c>
      <c r="F191" s="3">
        <v>9</v>
      </c>
      <c r="G191" s="198">
        <v>39</v>
      </c>
      <c r="H191" s="127">
        <f t="shared" si="50"/>
        <v>0.67</v>
      </c>
      <c r="I191" s="127">
        <f t="shared" si="66"/>
        <v>1.01</v>
      </c>
      <c r="J191" s="28">
        <f t="shared" si="53"/>
        <v>39.39</v>
      </c>
      <c r="K191" s="29">
        <f t="shared" si="47"/>
        <v>26.130000000000003</v>
      </c>
      <c r="L191" s="30">
        <f aca="true" t="shared" si="68" ref="L191:L201">+J191-K191</f>
        <v>13.259999999999998</v>
      </c>
      <c r="M191" s="27">
        <f t="shared" si="54"/>
        <v>-0.6492512955100973</v>
      </c>
      <c r="N191" s="19">
        <f t="shared" si="55"/>
        <v>12.6107487044899</v>
      </c>
      <c r="O191" s="27">
        <f t="shared" si="56"/>
        <v>0.69</v>
      </c>
      <c r="P191" s="27">
        <f t="shared" si="57"/>
        <v>26.909999999999997</v>
      </c>
      <c r="Q191" s="27">
        <f t="shared" si="58"/>
        <v>0.779999999999994</v>
      </c>
      <c r="R191" s="19">
        <f t="shared" si="59"/>
        <v>11.830748704489906</v>
      </c>
    </row>
    <row r="192" spans="1:18" ht="12.75">
      <c r="A192" s="3">
        <v>5</v>
      </c>
      <c r="B192" s="9">
        <f t="shared" si="52"/>
        <v>43221</v>
      </c>
      <c r="C192" s="126">
        <f t="shared" si="67"/>
        <v>43256</v>
      </c>
      <c r="D192" s="126">
        <f t="shared" si="67"/>
        <v>43271</v>
      </c>
      <c r="E192" s="20" t="s">
        <v>59</v>
      </c>
      <c r="F192" s="3">
        <v>9</v>
      </c>
      <c r="G192" s="198">
        <v>56</v>
      </c>
      <c r="H192" s="127">
        <f t="shared" si="50"/>
        <v>0.67</v>
      </c>
      <c r="I192" s="127">
        <f t="shared" si="66"/>
        <v>1.01</v>
      </c>
      <c r="J192" s="28">
        <f t="shared" si="53"/>
        <v>56.56</v>
      </c>
      <c r="K192" s="29">
        <f t="shared" si="47"/>
        <v>37.52</v>
      </c>
      <c r="L192" s="30">
        <f t="shared" si="68"/>
        <v>19.04</v>
      </c>
      <c r="M192" s="27">
        <f t="shared" si="54"/>
        <v>-0.9322582704760373</v>
      </c>
      <c r="N192" s="19">
        <f t="shared" si="55"/>
        <v>18.107741729523962</v>
      </c>
      <c r="O192" s="27">
        <f t="shared" si="56"/>
        <v>0.69</v>
      </c>
      <c r="P192" s="27">
        <f t="shared" si="57"/>
        <v>38.64</v>
      </c>
      <c r="Q192" s="27">
        <f t="shared" si="58"/>
        <v>1.1199999999999974</v>
      </c>
      <c r="R192" s="19">
        <f t="shared" si="59"/>
        <v>16.987741729523965</v>
      </c>
    </row>
    <row r="193" spans="1:18" ht="12.75">
      <c r="A193" s="3">
        <v>6</v>
      </c>
      <c r="B193" s="9">
        <f t="shared" si="52"/>
        <v>43252</v>
      </c>
      <c r="C193" s="126">
        <f t="shared" si="67"/>
        <v>43286</v>
      </c>
      <c r="D193" s="126">
        <f t="shared" si="67"/>
        <v>43301</v>
      </c>
      <c r="E193" s="20" t="s">
        <v>59</v>
      </c>
      <c r="F193" s="3">
        <v>9</v>
      </c>
      <c r="G193" s="198">
        <v>57</v>
      </c>
      <c r="H193" s="127">
        <f t="shared" si="50"/>
        <v>0.67</v>
      </c>
      <c r="I193" s="127">
        <f t="shared" si="66"/>
        <v>1.01</v>
      </c>
      <c r="J193" s="28">
        <f t="shared" si="53"/>
        <v>57.57</v>
      </c>
      <c r="K193" s="29">
        <f t="shared" si="47"/>
        <v>38.190000000000005</v>
      </c>
      <c r="L193" s="39">
        <f t="shared" si="68"/>
        <v>19.379999999999995</v>
      </c>
      <c r="M193" s="27">
        <f t="shared" si="54"/>
        <v>-0.9489057395916808</v>
      </c>
      <c r="N193" s="19">
        <f t="shared" si="55"/>
        <v>18.431094260408315</v>
      </c>
      <c r="O193" s="27">
        <f t="shared" si="56"/>
        <v>0.69</v>
      </c>
      <c r="P193" s="27">
        <f t="shared" si="57"/>
        <v>39.33</v>
      </c>
      <c r="Q193" s="27">
        <f t="shared" si="58"/>
        <v>1.1399999999999935</v>
      </c>
      <c r="R193" s="19">
        <f t="shared" si="59"/>
        <v>17.29109426040832</v>
      </c>
    </row>
    <row r="194" spans="1:18" ht="12.75">
      <c r="A194" s="10">
        <v>7</v>
      </c>
      <c r="B194" s="9">
        <f t="shared" si="52"/>
        <v>43282</v>
      </c>
      <c r="C194" s="126">
        <f t="shared" si="67"/>
        <v>43315</v>
      </c>
      <c r="D194" s="126">
        <f t="shared" si="67"/>
        <v>43330</v>
      </c>
      <c r="E194" s="20" t="s">
        <v>59</v>
      </c>
      <c r="F194" s="3">
        <v>9</v>
      </c>
      <c r="G194" s="198">
        <v>56</v>
      </c>
      <c r="H194" s="127">
        <f t="shared" si="50"/>
        <v>0.67</v>
      </c>
      <c r="I194" s="127">
        <f t="shared" si="66"/>
        <v>1.01</v>
      </c>
      <c r="J194" s="28">
        <f t="shared" si="53"/>
        <v>56.56</v>
      </c>
      <c r="K194" s="37">
        <f t="shared" si="47"/>
        <v>37.52</v>
      </c>
      <c r="L194" s="39">
        <f t="shared" si="68"/>
        <v>19.04</v>
      </c>
      <c r="M194" s="27">
        <f t="shared" si="54"/>
        <v>-0.9322582704760373</v>
      </c>
      <c r="N194" s="19">
        <f t="shared" si="55"/>
        <v>18.107741729523962</v>
      </c>
      <c r="O194" s="27">
        <f t="shared" si="56"/>
        <v>0.69</v>
      </c>
      <c r="P194" s="27">
        <f t="shared" si="57"/>
        <v>38.64</v>
      </c>
      <c r="Q194" s="27">
        <f t="shared" si="58"/>
        <v>1.1199999999999974</v>
      </c>
      <c r="R194" s="19">
        <f t="shared" si="59"/>
        <v>16.987741729523965</v>
      </c>
    </row>
    <row r="195" spans="1:18" ht="12.75">
      <c r="A195" s="3">
        <v>8</v>
      </c>
      <c r="B195" s="9">
        <f t="shared" si="52"/>
        <v>43313</v>
      </c>
      <c r="C195" s="126">
        <f t="shared" si="67"/>
        <v>43348</v>
      </c>
      <c r="D195" s="126">
        <f t="shared" si="67"/>
        <v>43363</v>
      </c>
      <c r="E195" s="20" t="s">
        <v>59</v>
      </c>
      <c r="F195" s="3">
        <v>9</v>
      </c>
      <c r="G195" s="198">
        <v>56</v>
      </c>
      <c r="H195" s="127">
        <f t="shared" si="50"/>
        <v>0.67</v>
      </c>
      <c r="I195" s="127">
        <f t="shared" si="66"/>
        <v>1.01</v>
      </c>
      <c r="J195" s="28">
        <f t="shared" si="53"/>
        <v>56.56</v>
      </c>
      <c r="K195" s="37">
        <f t="shared" si="47"/>
        <v>37.52</v>
      </c>
      <c r="L195" s="39">
        <f t="shared" si="68"/>
        <v>19.04</v>
      </c>
      <c r="M195" s="27">
        <f t="shared" si="54"/>
        <v>-0.9322582704760373</v>
      </c>
      <c r="N195" s="19">
        <f t="shared" si="55"/>
        <v>18.107741729523962</v>
      </c>
      <c r="O195" s="27">
        <f t="shared" si="56"/>
        <v>0.69</v>
      </c>
      <c r="P195" s="27">
        <f t="shared" si="57"/>
        <v>38.64</v>
      </c>
      <c r="Q195" s="27">
        <f t="shared" si="58"/>
        <v>1.1199999999999974</v>
      </c>
      <c r="R195" s="19">
        <f t="shared" si="59"/>
        <v>16.987741729523965</v>
      </c>
    </row>
    <row r="196" spans="1:18" ht="12.75">
      <c r="A196" s="3">
        <v>9</v>
      </c>
      <c r="B196" s="9">
        <f t="shared" si="52"/>
        <v>43344</v>
      </c>
      <c r="C196" s="126">
        <f t="shared" si="67"/>
        <v>43376</v>
      </c>
      <c r="D196" s="126">
        <f t="shared" si="67"/>
        <v>43391</v>
      </c>
      <c r="E196" s="20" t="s">
        <v>59</v>
      </c>
      <c r="F196" s="3">
        <v>9</v>
      </c>
      <c r="G196" s="198">
        <v>55</v>
      </c>
      <c r="H196" s="127">
        <f t="shared" si="50"/>
        <v>0.67</v>
      </c>
      <c r="I196" s="127">
        <f t="shared" si="66"/>
        <v>1.01</v>
      </c>
      <c r="J196" s="28">
        <f t="shared" si="53"/>
        <v>55.55</v>
      </c>
      <c r="K196" s="37">
        <f t="shared" si="47"/>
        <v>36.85</v>
      </c>
      <c r="L196" s="39">
        <f t="shared" si="68"/>
        <v>18.699999999999996</v>
      </c>
      <c r="M196" s="27">
        <f t="shared" si="54"/>
        <v>-0.9156108013603937</v>
      </c>
      <c r="N196" s="19">
        <f t="shared" si="55"/>
        <v>17.7843891986396</v>
      </c>
      <c r="O196" s="27">
        <f t="shared" si="56"/>
        <v>0.69</v>
      </c>
      <c r="P196" s="27">
        <f t="shared" si="57"/>
        <v>37.949999999999996</v>
      </c>
      <c r="Q196" s="27">
        <f t="shared" si="58"/>
        <v>1.0999999999999943</v>
      </c>
      <c r="R196" s="19">
        <f t="shared" si="59"/>
        <v>16.684389198639607</v>
      </c>
    </row>
    <row r="197" spans="1:18" ht="12.75">
      <c r="A197" s="10">
        <v>10</v>
      </c>
      <c r="B197" s="9">
        <f t="shared" si="52"/>
        <v>43374</v>
      </c>
      <c r="C197" s="126">
        <f t="shared" si="67"/>
        <v>43409</v>
      </c>
      <c r="D197" s="126">
        <f t="shared" si="67"/>
        <v>43424</v>
      </c>
      <c r="E197" s="20" t="s">
        <v>59</v>
      </c>
      <c r="F197" s="3">
        <v>9</v>
      </c>
      <c r="G197" s="198">
        <v>52</v>
      </c>
      <c r="H197" s="127">
        <f t="shared" si="50"/>
        <v>0.67</v>
      </c>
      <c r="I197" s="127">
        <f t="shared" si="66"/>
        <v>1.01</v>
      </c>
      <c r="J197" s="28">
        <f t="shared" si="53"/>
        <v>52.52</v>
      </c>
      <c r="K197" s="37">
        <f t="shared" si="47"/>
        <v>34.84</v>
      </c>
      <c r="L197" s="39">
        <f t="shared" si="68"/>
        <v>17.68</v>
      </c>
      <c r="M197" s="27">
        <f t="shared" si="54"/>
        <v>-0.8656683940134632</v>
      </c>
      <c r="N197" s="19">
        <f t="shared" si="55"/>
        <v>16.814331605986535</v>
      </c>
      <c r="O197" s="27">
        <f t="shared" si="56"/>
        <v>0.69</v>
      </c>
      <c r="P197" s="27">
        <f t="shared" si="57"/>
        <v>35.879999999999995</v>
      </c>
      <c r="Q197" s="27">
        <f t="shared" si="58"/>
        <v>1.039999999999992</v>
      </c>
      <c r="R197" s="19">
        <f t="shared" si="59"/>
        <v>15.774331605986543</v>
      </c>
    </row>
    <row r="198" spans="1:18" ht="12.75">
      <c r="A198" s="3">
        <v>11</v>
      </c>
      <c r="B198" s="9">
        <f t="shared" si="52"/>
        <v>43405</v>
      </c>
      <c r="C198" s="126">
        <f t="shared" si="67"/>
        <v>43439</v>
      </c>
      <c r="D198" s="126">
        <f t="shared" si="67"/>
        <v>43454</v>
      </c>
      <c r="E198" s="20" t="s">
        <v>59</v>
      </c>
      <c r="F198" s="3">
        <v>9</v>
      </c>
      <c r="G198" s="198">
        <v>42</v>
      </c>
      <c r="H198" s="127">
        <f t="shared" si="50"/>
        <v>0.67</v>
      </c>
      <c r="I198" s="127">
        <f t="shared" si="66"/>
        <v>1.01</v>
      </c>
      <c r="J198" s="28">
        <f t="shared" si="53"/>
        <v>42.42</v>
      </c>
      <c r="K198" s="37">
        <f aca="true" t="shared" si="69" ref="K198:K209">+$G198*H198</f>
        <v>28.14</v>
      </c>
      <c r="L198" s="39">
        <f t="shared" si="68"/>
        <v>14.280000000000001</v>
      </c>
      <c r="M198" s="27">
        <f t="shared" si="54"/>
        <v>-0.6991937028570279</v>
      </c>
      <c r="N198" s="19">
        <f t="shared" si="55"/>
        <v>13.580806297142974</v>
      </c>
      <c r="O198" s="27">
        <f t="shared" si="56"/>
        <v>0.69</v>
      </c>
      <c r="P198" s="27">
        <f t="shared" si="57"/>
        <v>28.979999999999997</v>
      </c>
      <c r="Q198" s="27">
        <f t="shared" si="58"/>
        <v>0.8399999999999963</v>
      </c>
      <c r="R198" s="19">
        <f t="shared" si="59"/>
        <v>12.740806297142978</v>
      </c>
    </row>
    <row r="199" spans="1:18" s="34" customFormat="1" ht="12.75">
      <c r="A199" s="3">
        <v>12</v>
      </c>
      <c r="B199" s="44">
        <f t="shared" si="52"/>
        <v>43435</v>
      </c>
      <c r="C199" s="126">
        <f t="shared" si="67"/>
        <v>43468</v>
      </c>
      <c r="D199" s="126">
        <f t="shared" si="67"/>
        <v>43483</v>
      </c>
      <c r="E199" s="45" t="s">
        <v>59</v>
      </c>
      <c r="F199" s="42">
        <v>9</v>
      </c>
      <c r="G199" s="199">
        <v>41</v>
      </c>
      <c r="H199" s="127">
        <f t="shared" si="50"/>
        <v>0.67</v>
      </c>
      <c r="I199" s="128">
        <f t="shared" si="66"/>
        <v>1.01</v>
      </c>
      <c r="J199" s="46">
        <f t="shared" si="53"/>
        <v>41.410000000000004</v>
      </c>
      <c r="K199" s="47">
        <f t="shared" si="69"/>
        <v>27.470000000000002</v>
      </c>
      <c r="L199" s="48">
        <f t="shared" si="68"/>
        <v>13.940000000000001</v>
      </c>
      <c r="M199" s="27">
        <f t="shared" si="54"/>
        <v>-0.6825462337413843</v>
      </c>
      <c r="N199" s="19">
        <f t="shared" si="55"/>
        <v>13.257453766258617</v>
      </c>
      <c r="O199" s="27">
        <f t="shared" si="56"/>
        <v>0.69</v>
      </c>
      <c r="P199" s="27">
        <f t="shared" si="57"/>
        <v>28.29</v>
      </c>
      <c r="Q199" s="27">
        <f t="shared" si="58"/>
        <v>0.8199999999999967</v>
      </c>
      <c r="R199" s="19">
        <f t="shared" si="59"/>
        <v>12.43745376625862</v>
      </c>
    </row>
    <row r="200" spans="1:18" ht="12.75">
      <c r="A200" s="10">
        <v>1</v>
      </c>
      <c r="B200" s="9">
        <f t="shared" si="52"/>
        <v>43101</v>
      </c>
      <c r="C200" s="125">
        <f t="shared" si="67"/>
        <v>43136</v>
      </c>
      <c r="D200" s="125">
        <f t="shared" si="67"/>
        <v>43151</v>
      </c>
      <c r="E200" s="60" t="s">
        <v>17</v>
      </c>
      <c r="F200" s="10">
        <v>9</v>
      </c>
      <c r="G200" s="198">
        <v>104</v>
      </c>
      <c r="H200" s="127">
        <f t="shared" si="50"/>
        <v>0.67</v>
      </c>
      <c r="I200" s="127">
        <f t="shared" si="66"/>
        <v>1.01</v>
      </c>
      <c r="J200" s="28">
        <f t="shared" si="53"/>
        <v>105.04</v>
      </c>
      <c r="K200" s="29">
        <f t="shared" si="69"/>
        <v>69.68</v>
      </c>
      <c r="L200" s="30">
        <f t="shared" si="68"/>
        <v>35.36</v>
      </c>
      <c r="M200" s="27">
        <f t="shared" si="54"/>
        <v>-1.7313367880269264</v>
      </c>
      <c r="N200" s="19">
        <f t="shared" si="55"/>
        <v>33.62866321197307</v>
      </c>
      <c r="O200" s="27">
        <f t="shared" si="56"/>
        <v>0.69</v>
      </c>
      <c r="P200" s="27">
        <f t="shared" si="57"/>
        <v>71.75999999999999</v>
      </c>
      <c r="Q200" s="27">
        <f t="shared" si="58"/>
        <v>2.079999999999984</v>
      </c>
      <c r="R200" s="19">
        <f t="shared" si="59"/>
        <v>31.548663211973086</v>
      </c>
    </row>
    <row r="201" spans="1:18" ht="12.75">
      <c r="A201" s="3">
        <v>2</v>
      </c>
      <c r="B201" s="9">
        <f t="shared" si="52"/>
        <v>43132</v>
      </c>
      <c r="C201" s="126">
        <f t="shared" si="67"/>
        <v>43164</v>
      </c>
      <c r="D201" s="126">
        <f t="shared" si="67"/>
        <v>43179</v>
      </c>
      <c r="E201" s="35" t="s">
        <v>17</v>
      </c>
      <c r="F201" s="3">
        <v>9</v>
      </c>
      <c r="G201" s="198">
        <v>98</v>
      </c>
      <c r="H201" s="127">
        <f t="shared" si="50"/>
        <v>0.67</v>
      </c>
      <c r="I201" s="127">
        <f t="shared" si="66"/>
        <v>1.01</v>
      </c>
      <c r="J201" s="28">
        <f t="shared" si="53"/>
        <v>98.98</v>
      </c>
      <c r="K201" s="29">
        <f t="shared" si="69"/>
        <v>65.66000000000001</v>
      </c>
      <c r="L201" s="30">
        <f t="shared" si="68"/>
        <v>33.31999999999999</v>
      </c>
      <c r="M201" s="27">
        <f t="shared" si="54"/>
        <v>-1.631451973333065</v>
      </c>
      <c r="N201" s="19">
        <f t="shared" si="55"/>
        <v>31.68854802666693</v>
      </c>
      <c r="O201" s="27">
        <f t="shared" si="56"/>
        <v>0.69</v>
      </c>
      <c r="P201" s="27">
        <f t="shared" si="57"/>
        <v>67.61999999999999</v>
      </c>
      <c r="Q201" s="27">
        <f t="shared" si="58"/>
        <v>1.9599999999999795</v>
      </c>
      <c r="R201" s="19">
        <f t="shared" si="59"/>
        <v>29.72854802666695</v>
      </c>
    </row>
    <row r="202" spans="1:18" ht="12.75">
      <c r="A202" s="3">
        <v>3</v>
      </c>
      <c r="B202" s="9">
        <f t="shared" si="52"/>
        <v>43160</v>
      </c>
      <c r="C202" s="126">
        <f t="shared" si="67"/>
        <v>43194</v>
      </c>
      <c r="D202" s="126">
        <f t="shared" si="67"/>
        <v>43209</v>
      </c>
      <c r="E202" s="35" t="s">
        <v>17</v>
      </c>
      <c r="F202" s="3">
        <v>9</v>
      </c>
      <c r="G202" s="198">
        <v>90</v>
      </c>
      <c r="H202" s="127">
        <f t="shared" si="50"/>
        <v>0.67</v>
      </c>
      <c r="I202" s="127">
        <f t="shared" si="66"/>
        <v>1.01</v>
      </c>
      <c r="J202" s="28">
        <f t="shared" si="53"/>
        <v>90.9</v>
      </c>
      <c r="K202" s="29">
        <f t="shared" si="69"/>
        <v>60.300000000000004</v>
      </c>
      <c r="L202" s="30">
        <f>+J202-K202</f>
        <v>30.6</v>
      </c>
      <c r="M202" s="27">
        <f t="shared" si="54"/>
        <v>-1.4982722204079169</v>
      </c>
      <c r="N202" s="19">
        <f t="shared" si="55"/>
        <v>29.101727779592085</v>
      </c>
      <c r="O202" s="27">
        <f t="shared" si="56"/>
        <v>0.69</v>
      </c>
      <c r="P202" s="27">
        <f t="shared" si="57"/>
        <v>62.099999999999994</v>
      </c>
      <c r="Q202" s="27">
        <f t="shared" si="58"/>
        <v>1.79999999999999</v>
      </c>
      <c r="R202" s="19">
        <f t="shared" si="59"/>
        <v>27.301727779592095</v>
      </c>
    </row>
    <row r="203" spans="1:18" ht="12.75">
      <c r="A203" s="10">
        <v>4</v>
      </c>
      <c r="B203" s="9">
        <f t="shared" si="52"/>
        <v>43191</v>
      </c>
      <c r="C203" s="126">
        <f t="shared" si="67"/>
        <v>43223</v>
      </c>
      <c r="D203" s="126">
        <f t="shared" si="67"/>
        <v>43238</v>
      </c>
      <c r="E203" s="35" t="s">
        <v>17</v>
      </c>
      <c r="F203" s="3">
        <v>9</v>
      </c>
      <c r="G203" s="198">
        <v>61</v>
      </c>
      <c r="H203" s="127">
        <f t="shared" si="50"/>
        <v>0.67</v>
      </c>
      <c r="I203" s="127">
        <f t="shared" si="66"/>
        <v>1.01</v>
      </c>
      <c r="J203" s="28">
        <f t="shared" si="53"/>
        <v>61.61</v>
      </c>
      <c r="K203" s="29">
        <f t="shared" si="69"/>
        <v>40.870000000000005</v>
      </c>
      <c r="L203" s="30">
        <f aca="true" t="shared" si="70" ref="L203:L211">+J203-K203</f>
        <v>20.739999999999995</v>
      </c>
      <c r="M203" s="27">
        <f t="shared" si="54"/>
        <v>-1.0154956160542548</v>
      </c>
      <c r="N203" s="19">
        <f t="shared" si="55"/>
        <v>19.72450438394574</v>
      </c>
      <c r="O203" s="27">
        <f t="shared" si="56"/>
        <v>0.69</v>
      </c>
      <c r="P203" s="27">
        <f t="shared" si="57"/>
        <v>42.089999999999996</v>
      </c>
      <c r="Q203" s="27">
        <f t="shared" si="58"/>
        <v>1.2199999999999918</v>
      </c>
      <c r="R203" s="19">
        <f t="shared" si="59"/>
        <v>18.504504383945747</v>
      </c>
    </row>
    <row r="204" spans="1:18" ht="12.75">
      <c r="A204" s="3">
        <v>5</v>
      </c>
      <c r="B204" s="9">
        <f t="shared" si="52"/>
        <v>43221</v>
      </c>
      <c r="C204" s="126">
        <f t="shared" si="67"/>
        <v>43256</v>
      </c>
      <c r="D204" s="126">
        <f t="shared" si="67"/>
        <v>43271</v>
      </c>
      <c r="E204" s="20" t="s">
        <v>17</v>
      </c>
      <c r="F204" s="3">
        <v>9</v>
      </c>
      <c r="G204" s="198">
        <v>102</v>
      </c>
      <c r="H204" s="127">
        <f t="shared" si="50"/>
        <v>0.67</v>
      </c>
      <c r="I204" s="127">
        <f t="shared" si="66"/>
        <v>1.01</v>
      </c>
      <c r="J204" s="28">
        <f t="shared" si="53"/>
        <v>103.02</v>
      </c>
      <c r="K204" s="29">
        <f t="shared" si="69"/>
        <v>68.34</v>
      </c>
      <c r="L204" s="30">
        <f t="shared" si="70"/>
        <v>34.67999999999999</v>
      </c>
      <c r="M204" s="27">
        <f t="shared" si="54"/>
        <v>-1.6980418497956393</v>
      </c>
      <c r="N204" s="19">
        <f t="shared" si="55"/>
        <v>32.981958150204356</v>
      </c>
      <c r="O204" s="27">
        <f t="shared" si="56"/>
        <v>0.69</v>
      </c>
      <c r="P204" s="27">
        <f t="shared" si="57"/>
        <v>70.38</v>
      </c>
      <c r="Q204" s="27">
        <f t="shared" si="58"/>
        <v>2.039999999999992</v>
      </c>
      <c r="R204" s="19">
        <f t="shared" si="59"/>
        <v>30.941958150204364</v>
      </c>
    </row>
    <row r="205" spans="1:18" ht="12.75">
      <c r="A205" s="3">
        <v>6</v>
      </c>
      <c r="B205" s="9">
        <f t="shared" si="52"/>
        <v>43252</v>
      </c>
      <c r="C205" s="126">
        <f t="shared" si="67"/>
        <v>43286</v>
      </c>
      <c r="D205" s="126">
        <f t="shared" si="67"/>
        <v>43301</v>
      </c>
      <c r="E205" s="20" t="s">
        <v>17</v>
      </c>
      <c r="F205" s="3">
        <v>9</v>
      </c>
      <c r="G205" s="198">
        <v>106</v>
      </c>
      <c r="H205" s="127">
        <f t="shared" si="50"/>
        <v>0.67</v>
      </c>
      <c r="I205" s="127">
        <f t="shared" si="66"/>
        <v>1.01</v>
      </c>
      <c r="J205" s="28">
        <f t="shared" si="53"/>
        <v>107.06</v>
      </c>
      <c r="K205" s="29">
        <f t="shared" si="69"/>
        <v>71.02000000000001</v>
      </c>
      <c r="L205" s="39">
        <f t="shared" si="70"/>
        <v>36.03999999999999</v>
      </c>
      <c r="M205" s="27">
        <f t="shared" si="54"/>
        <v>-1.7646317262582134</v>
      </c>
      <c r="N205" s="19">
        <f t="shared" si="55"/>
        <v>34.275368273741776</v>
      </c>
      <c r="O205" s="27">
        <f t="shared" si="56"/>
        <v>0.69</v>
      </c>
      <c r="P205" s="27">
        <f t="shared" si="57"/>
        <v>73.14</v>
      </c>
      <c r="Q205" s="27">
        <f t="shared" si="58"/>
        <v>2.1199999999999903</v>
      </c>
      <c r="R205" s="19">
        <f t="shared" si="59"/>
        <v>32.155368273741786</v>
      </c>
    </row>
    <row r="206" spans="1:18" ht="12.75">
      <c r="A206" s="10">
        <v>7</v>
      </c>
      <c r="B206" s="9">
        <f t="shared" si="52"/>
        <v>43282</v>
      </c>
      <c r="C206" s="126">
        <f t="shared" si="67"/>
        <v>43315</v>
      </c>
      <c r="D206" s="126">
        <f t="shared" si="67"/>
        <v>43330</v>
      </c>
      <c r="E206" s="20" t="s">
        <v>17</v>
      </c>
      <c r="F206" s="3">
        <v>9</v>
      </c>
      <c r="G206" s="198">
        <v>108</v>
      </c>
      <c r="H206" s="127">
        <f t="shared" si="50"/>
        <v>0.67</v>
      </c>
      <c r="I206" s="127">
        <f t="shared" si="66"/>
        <v>1.01</v>
      </c>
      <c r="J206" s="28">
        <f t="shared" si="53"/>
        <v>109.08</v>
      </c>
      <c r="K206" s="37">
        <f t="shared" si="69"/>
        <v>72.36</v>
      </c>
      <c r="L206" s="39">
        <f t="shared" si="70"/>
        <v>36.72</v>
      </c>
      <c r="M206" s="27">
        <f t="shared" si="54"/>
        <v>-1.7979266644895004</v>
      </c>
      <c r="N206" s="19">
        <f t="shared" si="55"/>
        <v>34.9220733355105</v>
      </c>
      <c r="O206" s="27">
        <f t="shared" si="56"/>
        <v>0.69</v>
      </c>
      <c r="P206" s="27">
        <f t="shared" si="57"/>
        <v>74.52</v>
      </c>
      <c r="Q206" s="27">
        <f t="shared" si="58"/>
        <v>2.1599999999999966</v>
      </c>
      <c r="R206" s="19">
        <f t="shared" si="59"/>
        <v>32.7620733355105</v>
      </c>
    </row>
    <row r="207" spans="1:18" ht="12.75">
      <c r="A207" s="3">
        <v>8</v>
      </c>
      <c r="B207" s="9">
        <f t="shared" si="52"/>
        <v>43313</v>
      </c>
      <c r="C207" s="126">
        <f t="shared" si="67"/>
        <v>43348</v>
      </c>
      <c r="D207" s="126">
        <f t="shared" si="67"/>
        <v>43363</v>
      </c>
      <c r="E207" s="20" t="s">
        <v>17</v>
      </c>
      <c r="F207" s="3">
        <v>9</v>
      </c>
      <c r="G207" s="198">
        <v>104</v>
      </c>
      <c r="H207" s="127">
        <f t="shared" si="50"/>
        <v>0.67</v>
      </c>
      <c r="I207" s="127">
        <f t="shared" si="66"/>
        <v>1.01</v>
      </c>
      <c r="J207" s="28">
        <f t="shared" si="53"/>
        <v>105.04</v>
      </c>
      <c r="K207" s="37">
        <f t="shared" si="69"/>
        <v>69.68</v>
      </c>
      <c r="L207" s="39">
        <f t="shared" si="70"/>
        <v>35.36</v>
      </c>
      <c r="M207" s="27">
        <f t="shared" si="54"/>
        <v>-1.7313367880269264</v>
      </c>
      <c r="N207" s="19">
        <f t="shared" si="55"/>
        <v>33.62866321197307</v>
      </c>
      <c r="O207" s="27">
        <f t="shared" si="56"/>
        <v>0.69</v>
      </c>
      <c r="P207" s="27">
        <f t="shared" si="57"/>
        <v>71.75999999999999</v>
      </c>
      <c r="Q207" s="27">
        <f t="shared" si="58"/>
        <v>2.079999999999984</v>
      </c>
      <c r="R207" s="19">
        <f t="shared" si="59"/>
        <v>31.548663211973086</v>
      </c>
    </row>
    <row r="208" spans="1:18" ht="12.75">
      <c r="A208" s="3">
        <v>9</v>
      </c>
      <c r="B208" s="9">
        <f t="shared" si="52"/>
        <v>43344</v>
      </c>
      <c r="C208" s="126">
        <f t="shared" si="67"/>
        <v>43376</v>
      </c>
      <c r="D208" s="126">
        <f t="shared" si="67"/>
        <v>43391</v>
      </c>
      <c r="E208" s="20" t="s">
        <v>17</v>
      </c>
      <c r="F208" s="3">
        <v>9</v>
      </c>
      <c r="G208" s="198">
        <v>110</v>
      </c>
      <c r="H208" s="127">
        <f t="shared" si="50"/>
        <v>0.67</v>
      </c>
      <c r="I208" s="127">
        <f t="shared" si="66"/>
        <v>1.01</v>
      </c>
      <c r="J208" s="28">
        <f t="shared" si="53"/>
        <v>111.1</v>
      </c>
      <c r="K208" s="37">
        <f t="shared" si="69"/>
        <v>73.7</v>
      </c>
      <c r="L208" s="39">
        <f t="shared" si="70"/>
        <v>37.39999999999999</v>
      </c>
      <c r="M208" s="27">
        <f t="shared" si="54"/>
        <v>-1.8312216027207875</v>
      </c>
      <c r="N208" s="19">
        <f t="shared" si="55"/>
        <v>35.5687783972792</v>
      </c>
      <c r="O208" s="27">
        <f t="shared" si="56"/>
        <v>0.69</v>
      </c>
      <c r="P208" s="27">
        <f t="shared" si="57"/>
        <v>75.89999999999999</v>
      </c>
      <c r="Q208" s="27">
        <f t="shared" si="58"/>
        <v>2.1999999999999886</v>
      </c>
      <c r="R208" s="19">
        <f t="shared" si="59"/>
        <v>33.368778397279215</v>
      </c>
    </row>
    <row r="209" spans="1:18" ht="12.75">
      <c r="A209" s="10">
        <v>10</v>
      </c>
      <c r="B209" s="9">
        <f t="shared" si="52"/>
        <v>43374</v>
      </c>
      <c r="C209" s="126">
        <f t="shared" si="67"/>
        <v>43409</v>
      </c>
      <c r="D209" s="126">
        <f t="shared" si="67"/>
        <v>43424</v>
      </c>
      <c r="E209" s="20" t="s">
        <v>17</v>
      </c>
      <c r="F209" s="3">
        <v>9</v>
      </c>
      <c r="G209" s="198">
        <v>109</v>
      </c>
      <c r="H209" s="127">
        <f t="shared" si="50"/>
        <v>0.67</v>
      </c>
      <c r="I209" s="127">
        <f t="shared" si="66"/>
        <v>1.01</v>
      </c>
      <c r="J209" s="28">
        <f t="shared" si="53"/>
        <v>110.09</v>
      </c>
      <c r="K209" s="37">
        <f t="shared" si="69"/>
        <v>73.03</v>
      </c>
      <c r="L209" s="39">
        <f t="shared" si="70"/>
        <v>37.06</v>
      </c>
      <c r="M209" s="27">
        <f t="shared" si="54"/>
        <v>-1.8145741336051437</v>
      </c>
      <c r="N209" s="19">
        <f t="shared" si="55"/>
        <v>35.24542586639486</v>
      </c>
      <c r="O209" s="27">
        <f t="shared" si="56"/>
        <v>0.69</v>
      </c>
      <c r="P209" s="27">
        <f t="shared" si="57"/>
        <v>75.21</v>
      </c>
      <c r="Q209" s="27">
        <f t="shared" si="58"/>
        <v>2.1799999999999926</v>
      </c>
      <c r="R209" s="19">
        <f t="shared" si="59"/>
        <v>33.06542586639487</v>
      </c>
    </row>
    <row r="210" spans="1:18" ht="12.75">
      <c r="A210" s="3">
        <v>11</v>
      </c>
      <c r="B210" s="9">
        <f t="shared" si="52"/>
        <v>43405</v>
      </c>
      <c r="C210" s="126">
        <f t="shared" si="67"/>
        <v>43439</v>
      </c>
      <c r="D210" s="126">
        <f t="shared" si="67"/>
        <v>43454</v>
      </c>
      <c r="E210" s="20" t="s">
        <v>17</v>
      </c>
      <c r="F210" s="3">
        <v>9</v>
      </c>
      <c r="G210" s="198">
        <v>101</v>
      </c>
      <c r="H210" s="127">
        <f t="shared" si="50"/>
        <v>0.67</v>
      </c>
      <c r="I210" s="127">
        <f t="shared" si="66"/>
        <v>1.01</v>
      </c>
      <c r="J210" s="28">
        <f t="shared" si="53"/>
        <v>102.01</v>
      </c>
      <c r="K210" s="37">
        <f>+$G210*H210</f>
        <v>67.67</v>
      </c>
      <c r="L210" s="39">
        <f t="shared" si="70"/>
        <v>34.34</v>
      </c>
      <c r="M210" s="27">
        <f t="shared" si="54"/>
        <v>-1.6813943806799956</v>
      </c>
      <c r="N210" s="19">
        <f t="shared" si="55"/>
        <v>32.65860561932001</v>
      </c>
      <c r="O210" s="27">
        <f t="shared" si="56"/>
        <v>0.69</v>
      </c>
      <c r="P210" s="27">
        <f t="shared" si="57"/>
        <v>69.69</v>
      </c>
      <c r="Q210" s="27">
        <f t="shared" si="58"/>
        <v>2.019999999999996</v>
      </c>
      <c r="R210" s="19">
        <f t="shared" si="59"/>
        <v>30.63860561932001</v>
      </c>
    </row>
    <row r="211" spans="1:18" s="34" customFormat="1" ht="12.75">
      <c r="A211" s="3">
        <v>12</v>
      </c>
      <c r="B211" s="44">
        <f t="shared" si="52"/>
        <v>43435</v>
      </c>
      <c r="C211" s="137">
        <f t="shared" si="67"/>
        <v>43468</v>
      </c>
      <c r="D211" s="137">
        <f t="shared" si="67"/>
        <v>43483</v>
      </c>
      <c r="E211" s="45" t="s">
        <v>17</v>
      </c>
      <c r="F211" s="42">
        <v>9</v>
      </c>
      <c r="G211" s="199">
        <v>102</v>
      </c>
      <c r="H211" s="127">
        <f t="shared" si="50"/>
        <v>0.67</v>
      </c>
      <c r="I211" s="128">
        <f t="shared" si="66"/>
        <v>1.01</v>
      </c>
      <c r="J211" s="46">
        <f t="shared" si="53"/>
        <v>103.02</v>
      </c>
      <c r="K211" s="47">
        <f>+$G211*H211</f>
        <v>68.34</v>
      </c>
      <c r="L211" s="48">
        <f t="shared" si="70"/>
        <v>34.67999999999999</v>
      </c>
      <c r="M211" s="46">
        <f t="shared" si="54"/>
        <v>-1.6980418497956393</v>
      </c>
      <c r="N211" s="19">
        <f t="shared" si="55"/>
        <v>32.981958150204356</v>
      </c>
      <c r="O211" s="46">
        <f t="shared" si="56"/>
        <v>0.69</v>
      </c>
      <c r="P211" s="230">
        <f t="shared" si="57"/>
        <v>70.38</v>
      </c>
      <c r="Q211" s="27">
        <f t="shared" si="58"/>
        <v>2.039999999999992</v>
      </c>
      <c r="R211" s="19">
        <f t="shared" si="59"/>
        <v>30.941958150204364</v>
      </c>
    </row>
    <row r="212" spans="7:18" ht="12.75">
      <c r="G212" s="200">
        <f>SUM(G20:G211)</f>
        <v>102517</v>
      </c>
      <c r="H212" s="151"/>
      <c r="I212" s="151"/>
      <c r="J212" s="151">
        <f>SUM(J20:J211)</f>
        <v>103542.16999999993</v>
      </c>
      <c r="K212" s="151">
        <f>SUM(K20:K211)</f>
        <v>68686.38999999997</v>
      </c>
      <c r="L212" s="151">
        <f>SUM(L20:L211)</f>
        <v>34855.779999999955</v>
      </c>
      <c r="M212" s="151">
        <f>SUM(M20:M211)</f>
        <v>-1706.6485913284287</v>
      </c>
      <c r="N212" s="151"/>
      <c r="O212" s="151"/>
      <c r="P212" s="151">
        <f>SUM(P20:P211)</f>
        <v>70736.7300000001</v>
      </c>
      <c r="Q212" s="151"/>
      <c r="R212" s="231">
        <f>SUM(R20:R211)</f>
        <v>31098.79140867161</v>
      </c>
    </row>
    <row r="213" spans="16:17" ht="12.75">
      <c r="P213" s="151"/>
      <c r="Q213" s="151"/>
    </row>
    <row r="220" spans="4:17" ht="12.75">
      <c r="D220"/>
      <c r="F220"/>
      <c r="G220"/>
      <c r="H220"/>
      <c r="I220"/>
      <c r="J220"/>
      <c r="K220"/>
      <c r="L220"/>
      <c r="M220"/>
      <c r="N220"/>
      <c r="O220"/>
      <c r="P220"/>
      <c r="Q220"/>
    </row>
  </sheetData>
  <sheetProtection/>
  <mergeCells count="4">
    <mergeCell ref="G2:H2"/>
    <mergeCell ref="G3:H3"/>
    <mergeCell ref="G7:H7"/>
    <mergeCell ref="G8:H8"/>
  </mergeCells>
  <printOptions/>
  <pageMargins left="0.5" right="0.25" top="1.05" bottom="1" header="0.31" footer="0.5"/>
  <pageSetup cellComments="asDisplayed" fitToHeight="0" fitToWidth="0" horizontalDpi="600" verticalDpi="600" orientation="landscape" scale="60" r:id="rId3"/>
  <headerFooter alignWithMargins="0">
    <oddHeader>&amp;R&amp;F  &amp;A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Williamson</dc:creator>
  <cp:keywords>AEP Internal</cp:keywords>
  <dc:description/>
  <cp:lastModifiedBy>s177040</cp:lastModifiedBy>
  <cp:lastPrinted>2019-05-28T15:22:28Z</cp:lastPrinted>
  <dcterms:created xsi:type="dcterms:W3CDTF">2009-09-04T18:19:13Z</dcterms:created>
  <dcterms:modified xsi:type="dcterms:W3CDTF">2019-05-28T15:22:39Z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f06838f1-b3e6-44ec-9132-89d348037b5f</vt:lpwstr>
  </property>
  <property fmtid="{D5CDD505-2E9C-101B-9397-08002B2CF9AE}" pid="3" name="bjSaver">
    <vt:lpwstr>clRxCTTKA7z930TtRLwKph96GxWYXtbn</vt:lpwstr>
  </property>
  <property fmtid="{D5CDD505-2E9C-101B-9397-08002B2CF9AE}" pid="4" name="bjDocumentSecurityLabel">
    <vt:lpwstr>AEP Internal</vt:lpwstr>
  </property>
  <property fmtid="{D5CDD505-2E9C-101B-9397-08002B2CF9AE}" pid="5" name="bjDocumentLabelXML">
    <vt:lpwstr>&lt;?xml version="1.0" encoding="us-ascii"?&gt;&lt;sisl xmlns:xsi="http://www.w3.org/2001/XMLSchema-instance" xmlns:xsd="http://www.w3.org/2001/XMLSchema" sislVersion="0" policy="e9c0b8d7-bdb4-4fd3-b62a-f50327aaefce" origin="autoSelectedSuggestion" xmlns="http://w</vt:lpwstr>
  </property>
  <property fmtid="{D5CDD505-2E9C-101B-9397-08002B2CF9AE}" pid="6" name="bjDocumentLabelXML-0">
    <vt:lpwstr>ww.boldonjames.com/2008/01/sie/internal/label"&gt;&lt;element uid="50c31824-0780-4910-87d1-eaaffd182d42" value="" /&gt;&lt;element uid="c64218ab-b8d1-40b6-a478-cb8be1e10ecc" value="" /&gt;&lt;/sisl&gt;</vt:lpwstr>
  </property>
  <property fmtid="{D5CDD505-2E9C-101B-9397-08002B2CF9AE}" pid="7" name="Visual Markings Removed">
    <vt:lpwstr>No</vt:lpwstr>
  </property>
</Properties>
</file>